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9e2c8fe894f78e/Documents/Archerie lissieu adm/2024-2025/Comptes/"/>
    </mc:Choice>
  </mc:AlternateContent>
  <xr:revisionPtr revIDLastSave="543" documentId="13_ncr:1_{E20D0BDF-085F-40F3-A001-4B8EEF30C3C8}" xr6:coauthVersionLast="47" xr6:coauthVersionMax="47" xr10:uidLastSave="{D75714E5-63BD-4B66-B123-CBED5C762B8C}"/>
  <workbookProtection workbookAlgorithmName="SHA-512" workbookHashValue="AiqRCULFCzglyhgxvAN9kEOfPhPpUyMj9M4r4x8+38GVHz054XpEEK9yCu9J6O03CacwuDR8B30R4w34PbFVSQ==" workbookSaltValue="4qmrPD213VqmwavHPtxlRQ==" workbookSpinCount="100000" lockStructure="1"/>
  <bookViews>
    <workbookView xWindow="-108" yWindow="-108" windowWidth="23256" windowHeight="12576" tabRatio="909" xr2:uid="{00000000-000D-0000-FFFF-FFFF00000000}"/>
  </bookViews>
  <sheets>
    <sheet name="Compte 2024-25" sheetId="19" r:id="rId1"/>
    <sheet name="RECAP" sheetId="26" r:id="rId2"/>
    <sheet name="Feuil1" sheetId="38" r:id="rId3"/>
    <sheet name="Concours" sheetId="34" r:id="rId4"/>
    <sheet name="RDJ" sheetId="36" r:id="rId5"/>
    <sheet name="loc caution" sheetId="33" r:id="rId6"/>
    <sheet name="CA" sheetId="23" r:id="rId7"/>
    <sheet name="verif" sheetId="25" r:id="rId8"/>
    <sheet name="maillots" sheetId="28" r:id="rId9"/>
    <sheet name="Livret A" sheetId="18" r:id="rId10"/>
    <sheet name="licenciés" sheetId="24" r:id="rId11"/>
    <sheet name="Deplact" sheetId="29" r:id="rId12"/>
    <sheet name="Prestations" sheetId="37" r:id="rId13"/>
  </sheets>
  <definedNames>
    <definedName name="_xlnm._FilterDatabase" localSheetId="0" hidden="1">'Compte 2024-25'!$A$5:$AO$228</definedName>
    <definedName name="_xlnm._FilterDatabase" localSheetId="10" hidden="1">licenciés!$A$1:$BN$43</definedName>
    <definedName name="_xlnm._FilterDatabase" localSheetId="5" hidden="1">'loc caution'!$A$1:$J$1</definedName>
    <definedName name="_xlnm._FilterDatabase" localSheetId="7" hidden="1">verif!$A$1:$AZ$43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26" l="1"/>
  <c r="K20" i="26"/>
  <c r="J20" i="26"/>
  <c r="D25" i="26"/>
  <c r="E24" i="23"/>
  <c r="E23" i="23" s="1"/>
  <c r="E22" i="23" s="1"/>
  <c r="E21" i="23" s="1"/>
  <c r="E20" i="23" s="1"/>
  <c r="D24" i="23"/>
  <c r="C24" i="23"/>
  <c r="A11" i="19"/>
  <c r="A14" i="19"/>
  <c r="A13" i="19"/>
  <c r="A12" i="19"/>
  <c r="A18" i="19"/>
  <c r="A20" i="19"/>
  <c r="A15" i="19"/>
  <c r="A10" i="19"/>
  <c r="A6" i="19"/>
  <c r="A16" i="19"/>
  <c r="A17" i="19"/>
  <c r="A25" i="19"/>
  <c r="A19" i="19"/>
  <c r="A27" i="19"/>
  <c r="A29" i="19"/>
  <c r="A24" i="19"/>
  <c r="A23" i="19"/>
  <c r="A28" i="19"/>
  <c r="A22" i="19"/>
  <c r="A9" i="19"/>
  <c r="J21" i="26" l="1"/>
  <c r="J24" i="26" s="1"/>
  <c r="J26" i="26" s="1"/>
  <c r="A30" i="19"/>
  <c r="A31" i="19"/>
  <c r="A32" i="19"/>
  <c r="A33" i="19"/>
  <c r="A34" i="19"/>
  <c r="A35" i="19"/>
  <c r="A38" i="19"/>
  <c r="A36" i="19"/>
  <c r="A26" i="19"/>
  <c r="A21" i="19"/>
  <c r="A37" i="19"/>
  <c r="A39" i="19"/>
  <c r="A40" i="19"/>
  <c r="A41" i="19"/>
  <c r="A42" i="19"/>
  <c r="A45" i="19"/>
  <c r="A46" i="19"/>
  <c r="A50" i="19"/>
  <c r="D28" i="36"/>
  <c r="B26" i="36"/>
  <c r="D26" i="36" s="1"/>
  <c r="B20" i="26"/>
  <c r="C20" i="26"/>
  <c r="E20" i="26"/>
  <c r="F20" i="26"/>
  <c r="A52" i="19"/>
  <c r="A53" i="19"/>
  <c r="A43" i="19"/>
  <c r="G9" i="29"/>
  <c r="E9" i="29"/>
  <c r="E5" i="29"/>
  <c r="E4" i="29"/>
  <c r="D9" i="29"/>
  <c r="E21" i="26" l="1"/>
  <c r="C21" i="26"/>
  <c r="E36" i="29"/>
  <c r="B36" i="29"/>
  <c r="D36" i="29" s="1"/>
  <c r="F36" i="29" s="1"/>
  <c r="I36" i="29" s="1"/>
  <c r="E35" i="29"/>
  <c r="B35" i="29"/>
  <c r="D35" i="29" s="1"/>
  <c r="F35" i="29" s="1"/>
  <c r="I35" i="29" s="1"/>
  <c r="B34" i="29"/>
  <c r="D34" i="29" s="1"/>
  <c r="F34" i="29" s="1"/>
  <c r="I34" i="29" s="1"/>
  <c r="B33" i="29"/>
  <c r="D33" i="29" s="1"/>
  <c r="F33" i="29" s="1"/>
  <c r="I33" i="29" s="1"/>
  <c r="E32" i="29"/>
  <c r="B32" i="29"/>
  <c r="D32" i="29" s="1"/>
  <c r="E31" i="29"/>
  <c r="B31" i="29"/>
  <c r="D31" i="29" s="1"/>
  <c r="D5" i="29"/>
  <c r="D4" i="29"/>
  <c r="E26" i="29"/>
  <c r="B26" i="29"/>
  <c r="D26" i="29" s="1"/>
  <c r="F26" i="29" s="1"/>
  <c r="I26" i="29" s="1"/>
  <c r="E25" i="29"/>
  <c r="B25" i="29"/>
  <c r="D25" i="29" s="1"/>
  <c r="F25" i="29" s="1"/>
  <c r="I25" i="29" s="1"/>
  <c r="B24" i="29"/>
  <c r="D24" i="29" s="1"/>
  <c r="F24" i="29" s="1"/>
  <c r="I24" i="29" s="1"/>
  <c r="B23" i="29"/>
  <c r="D23" i="29" s="1"/>
  <c r="F23" i="29" s="1"/>
  <c r="I23" i="29" s="1"/>
  <c r="E22" i="29"/>
  <c r="B22" i="29"/>
  <c r="D22" i="29" s="1"/>
  <c r="E21" i="29"/>
  <c r="B21" i="29"/>
  <c r="D21" i="29" s="1"/>
  <c r="A51" i="19"/>
  <c r="A54" i="19"/>
  <c r="A55" i="19"/>
  <c r="A57" i="19"/>
  <c r="A58" i="19"/>
  <c r="A59" i="19"/>
  <c r="AO4" i="19"/>
  <c r="H19" i="26" s="1"/>
  <c r="A60" i="19"/>
  <c r="A61" i="19"/>
  <c r="A62" i="19"/>
  <c r="A63" i="19"/>
  <c r="A64" i="19"/>
  <c r="A65" i="19"/>
  <c r="A66" i="19"/>
  <c r="A67" i="19"/>
  <c r="A68" i="19"/>
  <c r="H33" i="36"/>
  <c r="A47" i="19"/>
  <c r="A49" i="19"/>
  <c r="A56" i="19"/>
  <c r="K21" i="36"/>
  <c r="G2" i="36" s="1"/>
  <c r="M12" i="36"/>
  <c r="M11" i="36"/>
  <c r="M10" i="36"/>
  <c r="M9" i="36"/>
  <c r="G41" i="36"/>
  <c r="C8" i="36" s="1"/>
  <c r="G40" i="36"/>
  <c r="C7" i="36" s="1"/>
  <c r="G39" i="36"/>
  <c r="C6" i="36" s="1"/>
  <c r="G38" i="36"/>
  <c r="C5" i="36" s="1"/>
  <c r="G37" i="36"/>
  <c r="L7" i="36"/>
  <c r="G27" i="36"/>
  <c r="N7" i="36" s="1"/>
  <c r="L6" i="36"/>
  <c r="G26" i="36"/>
  <c r="G10" i="36"/>
  <c r="L5" i="36"/>
  <c r="G25" i="36"/>
  <c r="K4" i="36"/>
  <c r="L4" i="36" s="1"/>
  <c r="K2" i="36"/>
  <c r="L2" i="36" s="1"/>
  <c r="K3" i="36"/>
  <c r="L3" i="36" s="1"/>
  <c r="G23" i="36"/>
  <c r="G21" i="36"/>
  <c r="G4" i="36"/>
  <c r="G6" i="36"/>
  <c r="G24" i="36"/>
  <c r="G22" i="36"/>
  <c r="G20" i="36"/>
  <c r="G19" i="36"/>
  <c r="G18" i="36"/>
  <c r="G12" i="36"/>
  <c r="G11" i="36"/>
  <c r="G9" i="36"/>
  <c r="G8" i="36"/>
  <c r="G7" i="36"/>
  <c r="G5" i="36"/>
  <c r="G3" i="36"/>
  <c r="H14" i="36"/>
  <c r="A69" i="19"/>
  <c r="A70" i="19"/>
  <c r="A76" i="19"/>
  <c r="A72" i="19"/>
  <c r="A44" i="19"/>
  <c r="A48" i="19"/>
  <c r="A75" i="19"/>
  <c r="A71" i="19"/>
  <c r="A73" i="19"/>
  <c r="A74" i="19"/>
  <c r="A77" i="19"/>
  <c r="A78" i="19"/>
  <c r="A79" i="19"/>
  <c r="A80" i="19"/>
  <c r="A82" i="19"/>
  <c r="A84" i="19"/>
  <c r="A83" i="19"/>
  <c r="A81" i="19"/>
  <c r="A89" i="19"/>
  <c r="R16" i="25"/>
  <c r="O62" i="25"/>
  <c r="O61" i="25"/>
  <c r="M61" i="25"/>
  <c r="F31" i="29" l="1"/>
  <c r="I31" i="29" s="1"/>
  <c r="F32" i="29"/>
  <c r="I32" i="29" s="1"/>
  <c r="I37" i="29" s="1"/>
  <c r="F21" i="29"/>
  <c r="I21" i="29" s="1"/>
  <c r="I27" i="29" s="1"/>
  <c r="F22" i="29"/>
  <c r="I22" i="29" s="1"/>
  <c r="M13" i="36"/>
  <c r="G42" i="36"/>
  <c r="C14" i="36"/>
  <c r="N3" i="36"/>
  <c r="N4" i="36"/>
  <c r="N6" i="36"/>
  <c r="N5" i="36"/>
  <c r="N2" i="36"/>
  <c r="G14" i="36"/>
  <c r="G33" i="36"/>
  <c r="A90" i="19"/>
  <c r="A93" i="19"/>
  <c r="G34" i="36" l="1"/>
  <c r="B4" i="36" s="1"/>
  <c r="G15" i="36"/>
  <c r="B3" i="36" s="1"/>
  <c r="B14" i="36" s="1"/>
  <c r="B15" i="36" s="1"/>
  <c r="A92" i="19"/>
  <c r="A94" i="19"/>
  <c r="A95" i="19"/>
  <c r="A88" i="19"/>
  <c r="A85" i="19"/>
  <c r="AM4" i="19"/>
  <c r="H10" i="26" s="1"/>
  <c r="A96" i="19"/>
  <c r="A98" i="19"/>
  <c r="A99" i="19"/>
  <c r="A103" i="19"/>
  <c r="A101" i="19"/>
  <c r="A102" i="19"/>
  <c r="AH42" i="34"/>
  <c r="AH41" i="34"/>
  <c r="AH30" i="34"/>
  <c r="AH29" i="34"/>
  <c r="AH28" i="34"/>
  <c r="AH27" i="34"/>
  <c r="AH26" i="34"/>
  <c r="AH24" i="34"/>
  <c r="AH23" i="34"/>
  <c r="A107" i="19" l="1"/>
  <c r="A104" i="19"/>
  <c r="A105" i="19"/>
  <c r="AH18" i="34"/>
  <c r="AH17" i="34"/>
  <c r="AH16" i="34"/>
  <c r="AF15" i="34"/>
  <c r="AH15" i="34" s="1"/>
  <c r="AH14" i="34"/>
  <c r="AH13" i="34"/>
  <c r="AH12" i="34"/>
  <c r="AH11" i="34"/>
  <c r="AH10" i="34"/>
  <c r="AH9" i="34"/>
  <c r="AH7" i="34"/>
  <c r="AH5" i="34"/>
  <c r="AH2" i="34"/>
  <c r="B40" i="34"/>
  <c r="A109" i="19"/>
  <c r="A110" i="19"/>
  <c r="T19" i="34"/>
  <c r="W20" i="34"/>
  <c r="AB20" i="34" s="1"/>
  <c r="AC8" i="34" s="1"/>
  <c r="AB21" i="34"/>
  <c r="AC10" i="34" s="1"/>
  <c r="AB17" i="34"/>
  <c r="AB18" i="34"/>
  <c r="AB19" i="34"/>
  <c r="AC7" i="34" s="1"/>
  <c r="AB22" i="34"/>
  <c r="AC11" i="34" s="1"/>
  <c r="AB5" i="34"/>
  <c r="AA5" i="34"/>
  <c r="AA7" i="34"/>
  <c r="AA8" i="34"/>
  <c r="AA10" i="34"/>
  <c r="AA11" i="34"/>
  <c r="AA3" i="34"/>
  <c r="T18" i="34"/>
  <c r="N10" i="34"/>
  <c r="P10" i="34" s="1"/>
  <c r="N12" i="34"/>
  <c r="P12" i="34" s="1"/>
  <c r="N11" i="34"/>
  <c r="P11" i="34" s="1"/>
  <c r="T17" i="34"/>
  <c r="P17" i="34"/>
  <c r="T16" i="34"/>
  <c r="P16" i="34"/>
  <c r="N51" i="34"/>
  <c r="B33" i="34"/>
  <c r="C6" i="34" s="1"/>
  <c r="T28" i="34"/>
  <c r="P28" i="34"/>
  <c r="J39" i="34"/>
  <c r="G34" i="34"/>
  <c r="B28" i="34"/>
  <c r="P39" i="34"/>
  <c r="P38" i="34"/>
  <c r="P37" i="34"/>
  <c r="F25" i="34"/>
  <c r="T33" i="34"/>
  <c r="P33" i="34"/>
  <c r="F24" i="34"/>
  <c r="T32" i="34"/>
  <c r="P32" i="34"/>
  <c r="F23" i="34"/>
  <c r="T31" i="34"/>
  <c r="P31" i="34"/>
  <c r="F22" i="34"/>
  <c r="T27" i="34"/>
  <c r="P27" i="34"/>
  <c r="F21" i="34"/>
  <c r="T26" i="34"/>
  <c r="P26" i="34"/>
  <c r="F20" i="34"/>
  <c r="T25" i="34"/>
  <c r="P25" i="34"/>
  <c r="F19" i="34"/>
  <c r="T24" i="34"/>
  <c r="P24" i="34"/>
  <c r="J22" i="34"/>
  <c r="F18" i="34"/>
  <c r="T22" i="34"/>
  <c r="P22" i="34"/>
  <c r="T21" i="34"/>
  <c r="P21" i="34"/>
  <c r="R15" i="34"/>
  <c r="T15" i="34" s="1"/>
  <c r="P15" i="34"/>
  <c r="T14" i="34"/>
  <c r="P14" i="34"/>
  <c r="G14" i="34"/>
  <c r="T13" i="34"/>
  <c r="P13" i="34"/>
  <c r="T12" i="34"/>
  <c r="J16" i="34"/>
  <c r="T11" i="34"/>
  <c r="F11" i="34"/>
  <c r="T10" i="34"/>
  <c r="F10" i="34"/>
  <c r="T9" i="34"/>
  <c r="P9" i="34"/>
  <c r="F9" i="34"/>
  <c r="P8" i="34"/>
  <c r="F8" i="34"/>
  <c r="C8" i="34"/>
  <c r="T7" i="34"/>
  <c r="P7" i="34"/>
  <c r="F7" i="34"/>
  <c r="P6" i="34"/>
  <c r="F6" i="34"/>
  <c r="T5" i="34"/>
  <c r="P5" i="34"/>
  <c r="F5" i="34"/>
  <c r="P4" i="34"/>
  <c r="P3" i="34"/>
  <c r="T2" i="34"/>
  <c r="P2" i="34"/>
  <c r="J23" i="33"/>
  <c r="I23" i="33"/>
  <c r="H23" i="33"/>
  <c r="A108" i="19"/>
  <c r="A87" i="19"/>
  <c r="A114" i="19"/>
  <c r="A115" i="19"/>
  <c r="A116" i="19"/>
  <c r="A122" i="19"/>
  <c r="A121" i="19"/>
  <c r="A123" i="19"/>
  <c r="A111" i="19"/>
  <c r="A112" i="19"/>
  <c r="A113" i="19"/>
  <c r="A124" i="19"/>
  <c r="A125" i="19"/>
  <c r="A126" i="19"/>
  <c r="A127" i="19"/>
  <c r="A128" i="19"/>
  <c r="A129" i="19"/>
  <c r="A130" i="19"/>
  <c r="A131" i="19"/>
  <c r="A100" i="19"/>
  <c r="A91" i="19"/>
  <c r="A117" i="19"/>
  <c r="A120" i="19"/>
  <c r="A118" i="19"/>
  <c r="A119" i="19"/>
  <c r="A106" i="19"/>
  <c r="A134" i="19"/>
  <c r="A135" i="19"/>
  <c r="A136" i="19"/>
  <c r="A137" i="19"/>
  <c r="A138" i="19"/>
  <c r="A139" i="19"/>
  <c r="A140" i="19"/>
  <c r="A141" i="19"/>
  <c r="A132" i="19"/>
  <c r="A133" i="19"/>
  <c r="A146" i="19"/>
  <c r="A147" i="19"/>
  <c r="A149" i="19"/>
  <c r="AL4" i="19"/>
  <c r="H18" i="26" s="1"/>
  <c r="A151" i="19"/>
  <c r="A144" i="19"/>
  <c r="A143" i="19"/>
  <c r="A142" i="19"/>
  <c r="A145" i="19"/>
  <c r="M4" i="19"/>
  <c r="A152" i="19"/>
  <c r="AK4" i="19"/>
  <c r="H17" i="26" s="1"/>
  <c r="A150" i="19"/>
  <c r="L4" i="19" l="1"/>
  <c r="H23" i="26"/>
  <c r="AC5" i="34"/>
  <c r="C14" i="34"/>
  <c r="J23" i="34"/>
  <c r="P40" i="34"/>
  <c r="Q40" i="34" s="1"/>
  <c r="P34" i="34"/>
  <c r="F14" i="34"/>
  <c r="F15" i="34" s="1"/>
  <c r="B3" i="34" s="1"/>
  <c r="B14" i="34" s="1"/>
  <c r="Q33" i="34"/>
  <c r="B19" i="34" s="1"/>
  <c r="B21" i="34" s="1"/>
  <c r="Q15" i="34"/>
  <c r="Q34" i="34" s="1"/>
  <c r="F34" i="34"/>
  <c r="F35" i="34" s="1"/>
  <c r="Q27" i="34"/>
  <c r="A97" i="19"/>
  <c r="A86" i="19"/>
  <c r="A153" i="19"/>
  <c r="D3" i="29"/>
  <c r="E3" i="29" s="1"/>
  <c r="A148" i="19"/>
  <c r="Z44" i="25"/>
  <c r="A155" i="19"/>
  <c r="A156" i="19"/>
  <c r="A157" i="19"/>
  <c r="N35" i="25"/>
  <c r="U35" i="25" s="1"/>
  <c r="L45" i="25"/>
  <c r="A158" i="19"/>
  <c r="A159" i="19"/>
  <c r="A160" i="19"/>
  <c r="A161" i="19"/>
  <c r="A162" i="19"/>
  <c r="A163" i="19"/>
  <c r="A164" i="19"/>
  <c r="A165" i="19"/>
  <c r="A166" i="19"/>
  <c r="B15" i="34" l="1"/>
  <c r="G41" i="34"/>
  <c r="F42" i="34" s="1"/>
  <c r="A170" i="19" l="1"/>
  <c r="A171" i="19"/>
  <c r="A172" i="19"/>
  <c r="A173" i="19"/>
  <c r="A174" i="19"/>
  <c r="A175" i="19"/>
  <c r="A176" i="19"/>
  <c r="O15" i="25"/>
  <c r="A167" i="19"/>
  <c r="A168" i="19"/>
  <c r="Z42" i="25"/>
  <c r="Z43" i="25" s="1"/>
  <c r="A181" i="19"/>
  <c r="A180" i="19"/>
  <c r="C42" i="24"/>
  <c r="N40" i="25"/>
  <c r="U40" i="25" s="1"/>
  <c r="N26" i="25"/>
  <c r="U26" i="25" s="1"/>
  <c r="T186" i="19"/>
  <c r="S186" i="19"/>
  <c r="N25" i="25"/>
  <c r="U25" i="25" s="1"/>
  <c r="N16" i="25"/>
  <c r="S201" i="19"/>
  <c r="A201" i="19" s="1"/>
  <c r="A202" i="19"/>
  <c r="A203" i="19"/>
  <c r="A204" i="19"/>
  <c r="A205" i="19"/>
  <c r="A177" i="19"/>
  <c r="A178" i="19"/>
  <c r="A179" i="19"/>
  <c r="A182" i="19"/>
  <c r="A183" i="19"/>
  <c r="A184" i="19"/>
  <c r="A185" i="19"/>
  <c r="A198" i="19"/>
  <c r="A199" i="19"/>
  <c r="A200" i="19"/>
  <c r="V17" i="25"/>
  <c r="O17" i="25"/>
  <c r="A187" i="19"/>
  <c r="N21" i="25"/>
  <c r="U21" i="25" s="1"/>
  <c r="N34" i="25"/>
  <c r="U34" i="25" s="1"/>
  <c r="A188" i="19"/>
  <c r="A189" i="19"/>
  <c r="A190" i="19"/>
  <c r="N38" i="25"/>
  <c r="U38" i="25" s="1"/>
  <c r="N20" i="25"/>
  <c r="U20" i="25" s="1"/>
  <c r="N23" i="25"/>
  <c r="U23" i="25" s="1"/>
  <c r="N2" i="25"/>
  <c r="U2" i="25" s="1"/>
  <c r="A191" i="19"/>
  <c r="A192" i="19"/>
  <c r="A193" i="19"/>
  <c r="A194" i="19"/>
  <c r="A195" i="19"/>
  <c r="A196" i="19"/>
  <c r="A197" i="19"/>
  <c r="N17" i="25"/>
  <c r="N29" i="25"/>
  <c r="U29" i="25" s="1"/>
  <c r="N6" i="25"/>
  <c r="U6" i="25" s="1"/>
  <c r="N33" i="25"/>
  <c r="U33" i="25" s="1"/>
  <c r="N12" i="25"/>
  <c r="U12" i="25" s="1"/>
  <c r="N36" i="25"/>
  <c r="U36" i="25" s="1"/>
  <c r="N37" i="25"/>
  <c r="U37" i="25" s="1"/>
  <c r="A169" i="19"/>
  <c r="N41" i="25"/>
  <c r="U41" i="25" s="1"/>
  <c r="A217" i="19"/>
  <c r="A208" i="19"/>
  <c r="A207" i="19"/>
  <c r="A206" i="19"/>
  <c r="A154" i="19"/>
  <c r="T209" i="19"/>
  <c r="S209" i="19"/>
  <c r="N28" i="25"/>
  <c r="U28" i="25" s="1"/>
  <c r="N14" i="25"/>
  <c r="U14" i="25" s="1"/>
  <c r="N9" i="25"/>
  <c r="U9" i="25" s="1"/>
  <c r="N10" i="25"/>
  <c r="U10" i="25" s="1"/>
  <c r="N15" i="25"/>
  <c r="N5" i="25"/>
  <c r="U5" i="25" s="1"/>
  <c r="N13" i="25"/>
  <c r="U13" i="25" s="1"/>
  <c r="N4" i="25"/>
  <c r="U4" i="25" s="1"/>
  <c r="N3" i="25"/>
  <c r="U3" i="25" s="1"/>
  <c r="N22" i="25"/>
  <c r="U22" i="25" s="1"/>
  <c r="N7" i="25"/>
  <c r="U7" i="25" s="1"/>
  <c r="N8" i="25"/>
  <c r="N39" i="25"/>
  <c r="U39" i="25" s="1"/>
  <c r="N32" i="25"/>
  <c r="U32" i="25" s="1"/>
  <c r="N31" i="25"/>
  <c r="U31" i="25" s="1"/>
  <c r="N30" i="25"/>
  <c r="U30" i="25" s="1"/>
  <c r="N27" i="25"/>
  <c r="U27" i="25" s="1"/>
  <c r="N24" i="25"/>
  <c r="U24" i="25" s="1"/>
  <c r="N19" i="25"/>
  <c r="U19" i="25" s="1"/>
  <c r="N18" i="25"/>
  <c r="U18" i="25" s="1"/>
  <c r="N11" i="25"/>
  <c r="U11" i="25" s="1"/>
  <c r="A212" i="19"/>
  <c r="A211" i="19"/>
  <c r="A210" i="19"/>
  <c r="A214" i="19"/>
  <c r="A213" i="19"/>
  <c r="A215" i="19"/>
  <c r="G227" i="19"/>
  <c r="G226" i="19" s="1"/>
  <c r="G225" i="19" s="1"/>
  <c r="G224" i="19" s="1"/>
  <c r="G223" i="19" s="1"/>
  <c r="G222" i="19" s="1"/>
  <c r="G221" i="19" s="1"/>
  <c r="G220" i="19" s="1"/>
  <c r="G219" i="19" s="1"/>
  <c r="G218" i="19" s="1"/>
  <c r="G217" i="19" s="1"/>
  <c r="G216" i="19" s="1"/>
  <c r="G215" i="19" s="1"/>
  <c r="G214" i="19" s="1"/>
  <c r="G213" i="19" s="1"/>
  <c r="G212" i="19" s="1"/>
  <c r="G211" i="19" s="1"/>
  <c r="G210" i="19" s="1"/>
  <c r="G209" i="19" s="1"/>
  <c r="G208" i="19" s="1"/>
  <c r="G207" i="19" s="1"/>
  <c r="G206" i="19" s="1"/>
  <c r="G205" i="19" s="1"/>
  <c r="G204" i="19" s="1"/>
  <c r="G203" i="19" s="1"/>
  <c r="G202" i="19" s="1"/>
  <c r="G201" i="19" s="1"/>
  <c r="G200" i="19" s="1"/>
  <c r="G199" i="19" s="1"/>
  <c r="G198" i="19" s="1"/>
  <c r="G197" i="19" s="1"/>
  <c r="G196" i="19" s="1"/>
  <c r="G195" i="19" s="1"/>
  <c r="G194" i="19" s="1"/>
  <c r="G193" i="19" s="1"/>
  <c r="G192" i="19" s="1"/>
  <c r="G191" i="19" s="1"/>
  <c r="G190" i="19" s="1"/>
  <c r="G189" i="19" s="1"/>
  <c r="G188" i="19" s="1"/>
  <c r="G187" i="19" s="1"/>
  <c r="G186" i="19" s="1"/>
  <c r="G185" i="19" s="1"/>
  <c r="G184" i="19" s="1"/>
  <c r="G183" i="19" s="1"/>
  <c r="G182" i="19" s="1"/>
  <c r="G181" i="19" s="1"/>
  <c r="G180" i="19" s="1"/>
  <c r="G179" i="19" s="1"/>
  <c r="AA16" i="25" l="1"/>
  <c r="U16" i="25"/>
  <c r="A186" i="19"/>
  <c r="U15" i="25"/>
  <c r="G178" i="19"/>
  <c r="G177" i="19" s="1"/>
  <c r="G176" i="19" s="1"/>
  <c r="G175" i="19" s="1"/>
  <c r="G174" i="19" s="1"/>
  <c r="G173" i="19" s="1"/>
  <c r="G172" i="19" s="1"/>
  <c r="G171" i="19" s="1"/>
  <c r="G170" i="19" s="1"/>
  <c r="G169" i="19" s="1"/>
  <c r="G168" i="19" s="1"/>
  <c r="G167" i="19" s="1"/>
  <c r="G166" i="19" s="1"/>
  <c r="G165" i="19" s="1"/>
  <c r="G164" i="19" s="1"/>
  <c r="G163" i="19" s="1"/>
  <c r="G162" i="19" s="1"/>
  <c r="G161" i="19" s="1"/>
  <c r="G160" i="19" s="1"/>
  <c r="G159" i="19" s="1"/>
  <c r="G158" i="19" s="1"/>
  <c r="G157" i="19" s="1"/>
  <c r="G156" i="19" s="1"/>
  <c r="G155" i="19" s="1"/>
  <c r="G154" i="19" s="1"/>
  <c r="G153" i="19" s="1"/>
  <c r="G152" i="19" s="1"/>
  <c r="G151" i="19" s="1"/>
  <c r="G150" i="19" s="1"/>
  <c r="G149" i="19" s="1"/>
  <c r="G148" i="19" s="1"/>
  <c r="G147" i="19" s="1"/>
  <c r="G146" i="19" s="1"/>
  <c r="G145" i="19" s="1"/>
  <c r="G144" i="19" s="1"/>
  <c r="G143" i="19" s="1"/>
  <c r="G142" i="19" s="1"/>
  <c r="G141" i="19" s="1"/>
  <c r="G140" i="19" s="1"/>
  <c r="G139" i="19" s="1"/>
  <c r="G138" i="19" s="1"/>
  <c r="G137" i="19" s="1"/>
  <c r="G136" i="19" s="1"/>
  <c r="G135" i="19" s="1"/>
  <c r="G134" i="19" s="1"/>
  <c r="G133" i="19" s="1"/>
  <c r="G132" i="19" s="1"/>
  <c r="G131" i="19" s="1"/>
  <c r="G130" i="19" s="1"/>
  <c r="G129" i="19" s="1"/>
  <c r="G128" i="19" s="1"/>
  <c r="G127" i="19" s="1"/>
  <c r="G126" i="19" s="1"/>
  <c r="G125" i="19" s="1"/>
  <c r="G124" i="19" s="1"/>
  <c r="G123" i="19" s="1"/>
  <c r="G122" i="19" s="1"/>
  <c r="G121" i="19" s="1"/>
  <c r="G120" i="19" s="1"/>
  <c r="G119" i="19" s="1"/>
  <c r="G118" i="19" s="1"/>
  <c r="G117" i="19" s="1"/>
  <c r="G116" i="19" s="1"/>
  <c r="G115" i="19" s="1"/>
  <c r="G114" i="19" s="1"/>
  <c r="G113" i="19" s="1"/>
  <c r="G112" i="19" s="1"/>
  <c r="G111" i="19" s="1"/>
  <c r="G110" i="19" s="1"/>
  <c r="G109" i="19" s="1"/>
  <c r="G108" i="19" s="1"/>
  <c r="G107" i="19" s="1"/>
  <c r="G106" i="19" s="1"/>
  <c r="G105" i="19" s="1"/>
  <c r="G104" i="19" s="1"/>
  <c r="G103" i="19" s="1"/>
  <c r="G102" i="19" s="1"/>
  <c r="G101" i="19" s="1"/>
  <c r="G100" i="19" s="1"/>
  <c r="G99" i="19" s="1"/>
  <c r="G98" i="19" s="1"/>
  <c r="G97" i="19" s="1"/>
  <c r="G96" i="19" s="1"/>
  <c r="G95" i="19" s="1"/>
  <c r="G94" i="19" s="1"/>
  <c r="G93" i="19" s="1"/>
  <c r="G92" i="19" s="1"/>
  <c r="G91" i="19" s="1"/>
  <c r="G90" i="19" s="1"/>
  <c r="G89" i="19" s="1"/>
  <c r="G88" i="19" s="1"/>
  <c r="G87" i="19" s="1"/>
  <c r="G86" i="19" s="1"/>
  <c r="G85" i="19" s="1"/>
  <c r="G84" i="19" s="1"/>
  <c r="G83" i="19" s="1"/>
  <c r="G82" i="19" s="1"/>
  <c r="G81" i="19" s="1"/>
  <c r="G80" i="19" s="1"/>
  <c r="G79" i="19" s="1"/>
  <c r="G78" i="19" s="1"/>
  <c r="G77" i="19" s="1"/>
  <c r="G76" i="19" s="1"/>
  <c r="G75" i="19" s="1"/>
  <c r="G74" i="19" s="1"/>
  <c r="G73" i="19" s="1"/>
  <c r="G72" i="19" s="1"/>
  <c r="G71" i="19" s="1"/>
  <c r="G70" i="19" s="1"/>
  <c r="G69" i="19" s="1"/>
  <c r="G68" i="19" s="1"/>
  <c r="G67" i="19" s="1"/>
  <c r="G66" i="19" s="1"/>
  <c r="G65" i="19" s="1"/>
  <c r="G64" i="19" s="1"/>
  <c r="G63" i="19" s="1"/>
  <c r="G62" i="19" s="1"/>
  <c r="G61" i="19" s="1"/>
  <c r="G60" i="19" s="1"/>
  <c r="G59" i="19" s="1"/>
  <c r="G58" i="19" s="1"/>
  <c r="G57" i="19" s="1"/>
  <c r="G56" i="19" s="1"/>
  <c r="G55" i="19" s="1"/>
  <c r="G54" i="19" s="1"/>
  <c r="G53" i="19" s="1"/>
  <c r="G52" i="19" s="1"/>
  <c r="G51" i="19" s="1"/>
  <c r="G50" i="19" s="1"/>
  <c r="G49" i="19" s="1"/>
  <c r="G48" i="19" s="1"/>
  <c r="G47" i="19" s="1"/>
  <c r="G46" i="19" s="1"/>
  <c r="G45" i="19" s="1"/>
  <c r="G44" i="19" s="1"/>
  <c r="G43" i="19" s="1"/>
  <c r="G42" i="19" s="1"/>
  <c r="G41" i="19" s="1"/>
  <c r="G40" i="19" s="1"/>
  <c r="G39" i="19" s="1"/>
  <c r="G38" i="19" s="1"/>
  <c r="G37" i="19" s="1"/>
  <c r="G36" i="19" s="1"/>
  <c r="G35" i="19" s="1"/>
  <c r="G34" i="19" s="1"/>
  <c r="G33" i="19" s="1"/>
  <c r="G32" i="19" s="1"/>
  <c r="G31" i="19" s="1"/>
  <c r="G30" i="19" s="1"/>
  <c r="G29" i="19" s="1"/>
  <c r="G28" i="19" s="1"/>
  <c r="G27" i="19" s="1"/>
  <c r="G26" i="19" s="1"/>
  <c r="G25" i="19" s="1"/>
  <c r="G24" i="19" s="1"/>
  <c r="G23" i="19" s="1"/>
  <c r="G22" i="19" s="1"/>
  <c r="G21" i="19" s="1"/>
  <c r="G20" i="19" s="1"/>
  <c r="G19" i="19" s="1"/>
  <c r="G18" i="19" s="1"/>
  <c r="G17" i="19" s="1"/>
  <c r="G16" i="19" s="1"/>
  <c r="G15" i="19" s="1"/>
  <c r="G14" i="19" s="1"/>
  <c r="G13" i="19" s="1"/>
  <c r="G12" i="19" s="1"/>
  <c r="G11" i="19" s="1"/>
  <c r="G10" i="19" s="1"/>
  <c r="G9" i="19" s="1"/>
  <c r="U17" i="25"/>
  <c r="U8" i="25"/>
  <c r="A209" i="19"/>
  <c r="N4" i="19"/>
  <c r="AN4" i="19"/>
  <c r="H9" i="26" s="1"/>
  <c r="AJ4" i="19"/>
  <c r="AI4" i="19"/>
  <c r="AH4" i="19"/>
  <c r="H15" i="26" s="1"/>
  <c r="AE4" i="19"/>
  <c r="AD4" i="19"/>
  <c r="H14" i="26" s="1"/>
  <c r="AC4" i="19"/>
  <c r="H12" i="26" s="1"/>
  <c r="AB4" i="19"/>
  <c r="Z4" i="19"/>
  <c r="X4" i="19"/>
  <c r="W4" i="19"/>
  <c r="R4" i="19"/>
  <c r="P4" i="19"/>
  <c r="O4" i="19"/>
  <c r="H8" i="26" l="1"/>
  <c r="H16" i="26"/>
  <c r="S220" i="19"/>
  <c r="A222" i="19" l="1"/>
  <c r="A221" i="19"/>
  <c r="A220" i="19"/>
  <c r="A219" i="19"/>
  <c r="A218" i="19"/>
  <c r="A216" i="19"/>
  <c r="A225" i="19"/>
  <c r="A224" i="19"/>
  <c r="A223" i="19"/>
  <c r="A226" i="19" l="1"/>
  <c r="A227" i="19"/>
  <c r="D5" i="18" l="1"/>
  <c r="D9" i="18" s="1"/>
  <c r="D13" i="18" l="1"/>
  <c r="AG4" i="19" l="1"/>
  <c r="G7" i="26" s="1"/>
  <c r="AA4" i="19"/>
  <c r="U4" i="19"/>
  <c r="Q4" i="19"/>
  <c r="G4" i="26" s="1"/>
  <c r="AF4" i="19" l="1"/>
  <c r="H13" i="26" s="1"/>
  <c r="Y4" i="19"/>
  <c r="G5" i="26" s="1"/>
  <c r="V4" i="19"/>
  <c r="H11" i="26" s="1"/>
  <c r="T4" i="19"/>
  <c r="S4" i="19"/>
  <c r="K4" i="19"/>
  <c r="G22" i="26" s="1"/>
  <c r="E22" i="26" s="1"/>
  <c r="H20" i="26" l="1"/>
  <c r="E24" i="26"/>
  <c r="E26" i="26" s="1"/>
  <c r="D24" i="26"/>
  <c r="D26" i="26" s="1"/>
  <c r="G3" i="26"/>
  <c r="G20" i="26" s="1"/>
  <c r="G21" i="26" s="1"/>
  <c r="G4" i="19"/>
  <c r="G24" i="26" s="1"/>
  <c r="G26" i="26" s="1"/>
  <c r="A1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10" authorId="0" shapeId="0" xr:uid="{AAA74E7D-49A3-4645-959B-1DA775A420E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retour de 3 packs
</t>
        </r>
      </text>
    </comment>
    <comment ref="N11" authorId="0" shapeId="0" xr:uid="{D89B2D45-B166-4F8B-A141-89DBBCDDEE7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Retour de 2 packs</t>
        </r>
      </text>
    </comment>
    <comment ref="N12" authorId="0" shapeId="0" xr:uid="{26490CFE-D3E6-4EC4-9807-94801464981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retour de 2 packs
</t>
        </r>
      </text>
    </comment>
    <comment ref="S14" authorId="0" shapeId="0" xr:uid="{2E9A91C6-075A-4037-B55B-720F815960F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reste donné</t>
        </r>
      </text>
    </comment>
    <comment ref="S17" authorId="0" shapeId="0" xr:uid="{800F8CDD-D37C-44DA-B6E0-F173A4355CA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donné
</t>
        </r>
      </text>
    </comment>
    <comment ref="S31" authorId="0" shapeId="0" xr:uid="{E93DBA45-220C-4B99-A7C7-29B31ECFCCC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Donné
</t>
        </r>
      </text>
    </comment>
    <comment ref="S33" authorId="0" shapeId="0" xr:uid="{50ECD6D2-2A3B-4147-B885-3172F3267D8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Donné
</t>
        </r>
      </text>
    </comment>
    <comment ref="AG41" authorId="0" shapeId="0" xr:uid="{6177808B-AE09-43C9-ADEA-F6DD366157F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Donné
</t>
        </r>
      </text>
    </comment>
    <comment ref="AG42" authorId="0" shapeId="0" xr:uid="{3F1F2E22-3BEC-4C6E-BE5A-7601EAF0DA4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Donné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R16" authorId="0" shapeId="0" xr:uid="{289A931B-2E86-4264-9ACA-F7761CA733B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Oct: 22
Nov:22
Dec 22
Jan 22
Fev 22
mars22
</t>
        </r>
      </text>
    </comment>
    <comment ref="O17" authorId="0" shapeId="0" xr:uid="{246E4B0B-40A2-46F7-AA92-1D5B006EA34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 de 163 : 7€ à reverser sur loc arc
</t>
        </r>
      </text>
    </comment>
  </commentList>
</comments>
</file>

<file path=xl/sharedStrings.xml><?xml version="1.0" encoding="utf-8"?>
<sst xmlns="http://schemas.openxmlformats.org/spreadsheetml/2006/main" count="4086" uniqueCount="1593">
  <si>
    <t>EMOLUMENTS ENTRAINEUR</t>
  </si>
  <si>
    <t>LICENCES</t>
  </si>
  <si>
    <t>Recette</t>
  </si>
  <si>
    <t>Débit</t>
  </si>
  <si>
    <t>Crédit</t>
  </si>
  <si>
    <t>Date</t>
  </si>
  <si>
    <t>Date valeur</t>
  </si>
  <si>
    <t>Libellé</t>
  </si>
  <si>
    <t>Débit Euros</t>
  </si>
  <si>
    <t>Crédit Euros</t>
  </si>
  <si>
    <t>Solde</t>
  </si>
  <si>
    <t>Code</t>
  </si>
  <si>
    <t>Commentaires</t>
  </si>
  <si>
    <t>LIVRET</t>
  </si>
  <si>
    <t xml:space="preserve">SALAIRES </t>
  </si>
  <si>
    <t>URSSAF</t>
  </si>
  <si>
    <t>FRAIS DEPLAC.</t>
  </si>
  <si>
    <t>Administration</t>
  </si>
  <si>
    <t>PRELEV FFTA</t>
  </si>
  <si>
    <t>MAILLOTS</t>
  </si>
  <si>
    <t>Débit euros</t>
  </si>
  <si>
    <t>Crédit euros</t>
  </si>
  <si>
    <t>CONCOURS</t>
  </si>
  <si>
    <t>MAIRIE</t>
  </si>
  <si>
    <t>Nom</t>
  </si>
  <si>
    <t>Prénom</t>
  </si>
  <si>
    <t>Adresse</t>
  </si>
  <si>
    <t>Ville</t>
  </si>
  <si>
    <t>Evelyne</t>
  </si>
  <si>
    <t>evelynebonnaire@live.fr</t>
  </si>
  <si>
    <t>luc.chapon@free.fr</t>
  </si>
  <si>
    <t>Christiane</t>
  </si>
  <si>
    <t>pierrot.menu@free.fr</t>
  </si>
  <si>
    <t>Patrice</t>
  </si>
  <si>
    <t>patrice.oliveau@gmail.com</t>
  </si>
  <si>
    <t>LE PADELLEC</t>
  </si>
  <si>
    <t>Nolwenn</t>
  </si>
  <si>
    <t>nolwenn.lepadellec@gmail.com</t>
  </si>
  <si>
    <t>GAILLARD</t>
  </si>
  <si>
    <t>OLIVEAU</t>
  </si>
  <si>
    <t>Axel</t>
  </si>
  <si>
    <t>DARET</t>
  </si>
  <si>
    <t>axel.daret@laposte.net</t>
  </si>
  <si>
    <t>Oui</t>
  </si>
  <si>
    <t>RAINAUD</t>
  </si>
  <si>
    <t>maximeg807@gmail.com</t>
  </si>
  <si>
    <t>Francesco</t>
  </si>
  <si>
    <t>bosio.alberto@gmail.com</t>
  </si>
  <si>
    <t>Julie</t>
  </si>
  <si>
    <t>Margaux</t>
  </si>
  <si>
    <t>D'ADAMO-QUERVILLE</t>
  </si>
  <si>
    <t>muriellerainaud@gmail.com</t>
  </si>
  <si>
    <t>LAHURE</t>
  </si>
  <si>
    <t>CONCOURS Ronde des Jeunes (RDJ)</t>
  </si>
  <si>
    <t>MATERIEL</t>
  </si>
  <si>
    <t>Location Arc
Vente Arc</t>
  </si>
  <si>
    <t>Justificatif</t>
  </si>
  <si>
    <t xml:space="preserve">VIREMENT EN VOTRE FAVEUR
LISS'ARC </t>
  </si>
  <si>
    <t xml:space="preserve">INTERETS CREDITEURS     
DE L'ANNEE TAUX  0,500% </t>
  </si>
  <si>
    <t>Dernier cheking</t>
  </si>
  <si>
    <t>Achat Mat. Sportif Consommable</t>
  </si>
  <si>
    <t>TOTAL</t>
  </si>
  <si>
    <t>Concours 
RDJ
Dépenses</t>
  </si>
  <si>
    <t>Concours 
Salle
Recette</t>
  </si>
  <si>
    <t>Concours 
Salle
Dépenses</t>
  </si>
  <si>
    <t>ENGRAND</t>
  </si>
  <si>
    <t>BILLAUD</t>
  </si>
  <si>
    <t>VERMOYAL</t>
  </si>
  <si>
    <t>Evan</t>
  </si>
  <si>
    <t>Mail</t>
  </si>
  <si>
    <t>sbillaud@gmail.com</t>
  </si>
  <si>
    <t>01600</t>
  </si>
  <si>
    <t>BOSIO</t>
  </si>
  <si>
    <t>BUTSCH</t>
  </si>
  <si>
    <t>Mélanie</t>
  </si>
  <si>
    <t>mfd.butsch@gmail.com</t>
  </si>
  <si>
    <t>Nathan</t>
  </si>
  <si>
    <t>franck@dadamo.fr</t>
  </si>
  <si>
    <t>Gauthier</t>
  </si>
  <si>
    <t>gauthier.engrand@gmail.com</t>
  </si>
  <si>
    <t>Romy</t>
  </si>
  <si>
    <t>sarahreplumaz@hotmail.fr</t>
  </si>
  <si>
    <t>GONNET</t>
  </si>
  <si>
    <t>Camille</t>
  </si>
  <si>
    <t>MABILLE</t>
  </si>
  <si>
    <t>mmabille@hotmail.com</t>
  </si>
  <si>
    <t>ROUBAUD</t>
  </si>
  <si>
    <t>Alain</t>
  </si>
  <si>
    <t>roubaud.alain@gmail.com</t>
  </si>
  <si>
    <t>jjval@bbox.fr</t>
  </si>
  <si>
    <t>GERIN</t>
  </si>
  <si>
    <t>MENU</t>
  </si>
  <si>
    <t>Vérification</t>
  </si>
  <si>
    <t>Achat</t>
  </si>
  <si>
    <t>Subventtion Mairie</t>
  </si>
  <si>
    <t>Convivialité</t>
  </si>
  <si>
    <t>AUTRES</t>
  </si>
  <si>
    <t>Assurance</t>
  </si>
  <si>
    <t>C</t>
  </si>
  <si>
    <t>INTERETS CREDITEURS     
DE L'ANNEE TAUX  2%</t>
  </si>
  <si>
    <t>INTERETS CREDITEURS     
DE L'ANNEE TAUX  1%</t>
  </si>
  <si>
    <t>INTERETS CREDITEURS     
DE L'ANNEE TAUX  0,5%</t>
  </si>
  <si>
    <t>MOUVEMENTS</t>
  </si>
  <si>
    <t>FRANCHET</t>
  </si>
  <si>
    <t>William</t>
  </si>
  <si>
    <t>franchwl@aol.com</t>
  </si>
  <si>
    <t>amandine.lahure@yahoo.fr</t>
  </si>
  <si>
    <t>COQUAND</t>
  </si>
  <si>
    <t>Eric</t>
  </si>
  <si>
    <t>eric.coquand@hotmail.fr</t>
  </si>
  <si>
    <t>BONNEFILLE</t>
  </si>
  <si>
    <t>Sophie</t>
  </si>
  <si>
    <t>GROCCIA</t>
  </si>
  <si>
    <t>Frédéric</t>
  </si>
  <si>
    <t>DOEUVRE</t>
  </si>
  <si>
    <t>Stéphanie</t>
  </si>
  <si>
    <t>N°</t>
  </si>
  <si>
    <t>COUESNON</t>
  </si>
  <si>
    <t>0706284A</t>
  </si>
  <si>
    <t>1000829D</t>
  </si>
  <si>
    <t>sophie.bonnefille@gmail.com</t>
  </si>
  <si>
    <t>01480</t>
  </si>
  <si>
    <t>0043873N</t>
  </si>
  <si>
    <t>02/12/2013</t>
  </si>
  <si>
    <t>1001459J</t>
  </si>
  <si>
    <t>1000832G</t>
  </si>
  <si>
    <t>31/10/1976</t>
  </si>
  <si>
    <t>frederic_groccia@hotmail.fr</t>
  </si>
  <si>
    <t>1000833H</t>
  </si>
  <si>
    <t>04/01/1987</t>
  </si>
  <si>
    <t>niniquiero@hotmail.fr</t>
  </si>
  <si>
    <t>Téléphone</t>
  </si>
  <si>
    <t>Email</t>
  </si>
  <si>
    <t>0732830E</t>
  </si>
  <si>
    <t>0992488S</t>
  </si>
  <si>
    <t>0043504M</t>
  </si>
  <si>
    <t>0019850B</t>
  </si>
  <si>
    <t>0987686X</t>
  </si>
  <si>
    <t>0043514Y</t>
  </si>
  <si>
    <t>0725116V</t>
  </si>
  <si>
    <t>0710370S</t>
  </si>
  <si>
    <t>0802343M</t>
  </si>
  <si>
    <t>0808917H</t>
  </si>
  <si>
    <t>0046950H</t>
  </si>
  <si>
    <t>0019840R</t>
  </si>
  <si>
    <t>Alberto</t>
  </si>
  <si>
    <t>REPLUMAZ</t>
  </si>
  <si>
    <t>Sarah</t>
  </si>
  <si>
    <t>Gilles</t>
  </si>
  <si>
    <t>Martin</t>
  </si>
  <si>
    <t>CHABRETOU</t>
  </si>
  <si>
    <t>Valérie</t>
  </si>
  <si>
    <t>0961850P</t>
  </si>
  <si>
    <t>JOLY</t>
  </si>
  <si>
    <t>PIEDANNA</t>
  </si>
  <si>
    <t>Isabelle</t>
  </si>
  <si>
    <t>1016024O</t>
  </si>
  <si>
    <t>03/08/1978</t>
  </si>
  <si>
    <t>isabelle.joly9@orange.fr</t>
  </si>
  <si>
    <t>LISSIEU</t>
  </si>
  <si>
    <t>Lilou</t>
  </si>
  <si>
    <t>1016026Q</t>
  </si>
  <si>
    <t>24/06/2014</t>
  </si>
  <si>
    <t>0420353F</t>
  </si>
  <si>
    <t>0039424C</t>
  </si>
  <si>
    <t>18/06/2012</t>
  </si>
  <si>
    <t>MICHON</t>
  </si>
  <si>
    <t>Coralie</t>
  </si>
  <si>
    <t>coco_69380@hotmail.fr</t>
  </si>
  <si>
    <t>0019923F</t>
  </si>
  <si>
    <t>QUERVILLE</t>
  </si>
  <si>
    <t>Fanny</t>
  </si>
  <si>
    <t>fanny@querville.fr</t>
  </si>
  <si>
    <t>Franck</t>
  </si>
  <si>
    <t>0039798J</t>
  </si>
  <si>
    <t>LESNE</t>
  </si>
  <si>
    <t>Thomas</t>
  </si>
  <si>
    <t>LESNE BRIGNOLI</t>
  </si>
  <si>
    <t>Jules</t>
  </si>
  <si>
    <t>1004209D</t>
  </si>
  <si>
    <t>12/05/1981</t>
  </si>
  <si>
    <t>thomas.lesne@gmail.com</t>
  </si>
  <si>
    <t>1004214I</t>
  </si>
  <si>
    <t>19/02/2013</t>
  </si>
  <si>
    <t>1012988U</t>
  </si>
  <si>
    <t>TROCHARD ANDRZEJEWSKI</t>
  </si>
  <si>
    <t>Gabriel</t>
  </si>
  <si>
    <t>12/08/2014</t>
  </si>
  <si>
    <t>ANDRZEJEWSKI</t>
  </si>
  <si>
    <t>Audrey</t>
  </si>
  <si>
    <t>audrey_andr@yahoo.fr</t>
  </si>
  <si>
    <t>CHASSELAY</t>
  </si>
  <si>
    <t>1015993J</t>
  </si>
  <si>
    <t>Bruno</t>
  </si>
  <si>
    <t>07/02/1970</t>
  </si>
  <si>
    <t>bruno.piedanna@sfr.fr</t>
  </si>
  <si>
    <t>LIMONEST</t>
  </si>
  <si>
    <t>0956675P</t>
  </si>
  <si>
    <t>0003868E</t>
  </si>
  <si>
    <t>Achat Mat. Sportif Investissement
(arc …)</t>
  </si>
  <si>
    <t>PENEVEYRE</t>
  </si>
  <si>
    <t>0873809T</t>
  </si>
  <si>
    <t>Frank</t>
  </si>
  <si>
    <t>KAVELASHVILI</t>
  </si>
  <si>
    <t>Marie</t>
  </si>
  <si>
    <t>1019709H</t>
  </si>
  <si>
    <t>sarah.peneveyre@hotmail.fr</t>
  </si>
  <si>
    <t>BONNAIRE</t>
  </si>
  <si>
    <t>Nicolas</t>
  </si>
  <si>
    <t>INTERETS CREDITEURS DE L'ANNEE TAUX 2%</t>
  </si>
  <si>
    <t>INTERETS CREDITEURS DE L'ANNEE TAUX 3%</t>
  </si>
  <si>
    <t>VIREMENT EN VOTRE FAVEUR DE LISS'ARC</t>
  </si>
  <si>
    <t>Cotisation
CLU B</t>
  </si>
  <si>
    <t>Cotisation FFTA</t>
  </si>
  <si>
    <t>PassSport
PassRegion</t>
  </si>
  <si>
    <t>Vente</t>
  </si>
  <si>
    <t>Achat Fleches</t>
  </si>
  <si>
    <t>Vente flèches</t>
  </si>
  <si>
    <t>Achat Materiel 
autre</t>
  </si>
  <si>
    <t>SOLDE
2024</t>
  </si>
  <si>
    <t>SOLDE
2023-24
01/09/24</t>
  </si>
  <si>
    <t xml:space="preserve">VIREMENT EN VOTRE FAVEUR LICENCE PATRICE OLIVEAU 
             </t>
  </si>
  <si>
    <t xml:space="preserve">CHEQUE EMIS             2282851 </t>
  </si>
  <si>
    <t>Salaire Nicolas juin juillet 24</t>
  </si>
  <si>
    <t xml:space="preserve">VIREMENT EN VOTRE FAVEUR     ALAIN ROUBAUD 
 </t>
  </si>
  <si>
    <t>licence P.Oliveau</t>
  </si>
  <si>
    <t>licence A.Roubaud</t>
  </si>
  <si>
    <t xml:space="preserve">VIREMENT EN VOTRE FAVEUR     MASSON </t>
  </si>
  <si>
    <t>licence Masson</t>
  </si>
  <si>
    <t xml:space="preserve">VIREMENT EN VOTRE FAVEUR   BONNAIRE EVELYNE INSCRIPTION </t>
  </si>
  <si>
    <t>licence E. Bonnaire</t>
  </si>
  <si>
    <t>VIREMENT EN VOTRE FAVEUR   ERIC COQUAND 0</t>
  </si>
  <si>
    <t>Licence E. Coquand</t>
  </si>
  <si>
    <t xml:space="preserve">VIREMENT EN VOTRE FAVEUR  LESNE THOMAS </t>
  </si>
  <si>
    <t>licence T. Lesne</t>
  </si>
  <si>
    <t xml:space="preserve">VIREMENT EN VOTRE FAVEUR   MME M BUTSCH OU M G ENGRAND </t>
  </si>
  <si>
    <t>licence M. Butsch et G. Engrand (manque 16€)</t>
  </si>
  <si>
    <t>PRELEVEMENT URSSAF RHONE ALPES UR 827000002184626493    JUIL24</t>
  </si>
  <si>
    <t xml:space="preserve">PRELEVEMENT   FFTA Information Prlv 20240909-0001 
0169190-01  FR59ZZZ407318                               </t>
  </si>
  <si>
    <t>Licence Bosio</t>
  </si>
  <si>
    <t>Licence B.Piedanna</t>
  </si>
  <si>
    <t>Licence C.Piedanna</t>
  </si>
  <si>
    <t>Licence A.Daret</t>
  </si>
  <si>
    <t>Licence Pichon</t>
  </si>
  <si>
    <t>Licence N.Couenon partielle ( 56 / 156) (Reste Ch 50 + PassSport 50)</t>
  </si>
  <si>
    <t>Code adhérent</t>
  </si>
  <si>
    <t>Civilité</t>
  </si>
  <si>
    <t>DDN</t>
  </si>
  <si>
    <t>Nationalité</t>
  </si>
  <si>
    <t>Pays de naissance</t>
  </si>
  <si>
    <t>Mobile</t>
  </si>
  <si>
    <t>Parenté</t>
  </si>
  <si>
    <t>Mobile 2</t>
  </si>
  <si>
    <t>Mail 2</t>
  </si>
  <si>
    <t>Parenté 2</t>
  </si>
  <si>
    <t>Code postal</t>
  </si>
  <si>
    <t>Commune</t>
  </si>
  <si>
    <t>Type licence</t>
  </si>
  <si>
    <t>État</t>
  </si>
  <si>
    <t>Saisie par</t>
  </si>
  <si>
    <t>IA</t>
  </si>
  <si>
    <t>Photo</t>
  </si>
  <si>
    <t>Saison</t>
  </si>
  <si>
    <t>Saison 1ére licence</t>
  </si>
  <si>
    <t>Discipline(s)</t>
  </si>
  <si>
    <t>Catégorie âge sportif</t>
  </si>
  <si>
    <t>Catégorie âge</t>
  </si>
  <si>
    <t>Mutations</t>
  </si>
  <si>
    <t>Surclassement</t>
  </si>
  <si>
    <t>Date de demande</t>
  </si>
  <si>
    <t>Date compta</t>
  </si>
  <si>
    <t>Date de début</t>
  </si>
  <si>
    <t>Date de fin de validité</t>
  </si>
  <si>
    <t>Honorabilité</t>
  </si>
  <si>
    <t>Montant licence</t>
  </si>
  <si>
    <t>Options licence</t>
  </si>
  <si>
    <t>Montant options</t>
  </si>
  <si>
    <t>Type certificat</t>
  </si>
  <si>
    <t>Date de début certificat médical</t>
  </si>
  <si>
    <t>Date de fin certificat médical</t>
  </si>
  <si>
    <t>Code structure</t>
  </si>
  <si>
    <t>Nom structure</t>
  </si>
  <si>
    <t>Nom court structure</t>
  </si>
  <si>
    <t>Adresse structure</t>
  </si>
  <si>
    <t>Commune structure</t>
  </si>
  <si>
    <t>Code postal structure</t>
  </si>
  <si>
    <t>Mail structure</t>
  </si>
  <si>
    <t>Téléphone structure</t>
  </si>
  <si>
    <t>Mobile structure</t>
  </si>
  <si>
    <t>Code Club Unisport</t>
  </si>
  <si>
    <t>Nom Club Unisport</t>
  </si>
  <si>
    <t>Code Comité Départemental</t>
  </si>
  <si>
    <t>Nom Comité Départemental</t>
  </si>
  <si>
    <t>Code Comité Régional</t>
  </si>
  <si>
    <t>Nom Comité Régional</t>
  </si>
  <si>
    <t>Nom du responsable légal</t>
  </si>
  <si>
    <t>Prénom du responsable légal</t>
  </si>
  <si>
    <t>Téléphone du responsable légal</t>
  </si>
  <si>
    <t>Mail du responsable légal</t>
  </si>
  <si>
    <t>Nom du responsable légal secondaire</t>
  </si>
  <si>
    <t>Prénom du responsable légal secondaire</t>
  </si>
  <si>
    <t>Téléphone du responsable légal secondaire</t>
  </si>
  <si>
    <t>Mail du responsable légal secondaire</t>
  </si>
  <si>
    <t>Handicap</t>
  </si>
  <si>
    <t>Arme</t>
  </si>
  <si>
    <t>R</t>
  </si>
  <si>
    <t>M</t>
  </si>
  <si>
    <t>27/08/1997</t>
  </si>
  <si>
    <t>Français(e)</t>
  </si>
  <si>
    <t>FRANCE</t>
  </si>
  <si>
    <t>04 78 43 73 13</t>
  </si>
  <si>
    <t>06 16 03 48 13</t>
  </si>
  <si>
    <t>Non</t>
  </si>
  <si>
    <t>134 IMPASSE BONIFACE</t>
  </si>
  <si>
    <t>69380</t>
  </si>
  <si>
    <t>MARCILLY-D'AZERGUES</t>
  </si>
  <si>
    <t>Adulte pratique en compétition</t>
  </si>
  <si>
    <t>Active</t>
  </si>
  <si>
    <t>Club Unisport</t>
  </si>
  <si>
    <t>Tir à l'arc</t>
  </si>
  <si>
    <t>S1</t>
  </si>
  <si>
    <t>Sénior 1</t>
  </si>
  <si>
    <t>2024-09-10</t>
  </si>
  <si>
    <t>2025-08-31</t>
  </si>
  <si>
    <t>75</t>
  </si>
  <si>
    <t>0</t>
  </si>
  <si>
    <t>Questionnaire Santé</t>
  </si>
  <si>
    <t>0169190</t>
  </si>
  <si>
    <t>LISS'ARC</t>
  </si>
  <si>
    <t>PLACE DE LA MAIRIE</t>
  </si>
  <si>
    <t>lissarc69@gmail.com</t>
  </si>
  <si>
    <t>06 66 33 32 43</t>
  </si>
  <si>
    <t>69000</t>
  </si>
  <si>
    <t>COMITE DE TIR A L'ARC RHONE-METROPOLE DE LYON</t>
  </si>
  <si>
    <t>CR01</t>
  </si>
  <si>
    <t>COMITE REGIONAL AUVERGNE-RHONE ALPES</t>
  </si>
  <si>
    <t>Arc Classique</t>
  </si>
  <si>
    <t>Mme</t>
  </si>
  <si>
    <t>09/03/1990</t>
  </si>
  <si>
    <t>06 44 03 13 69</t>
  </si>
  <si>
    <t>25 TER RUE GABRIEL PÉRI</t>
  </si>
  <si>
    <t>69210</t>
  </si>
  <si>
    <t>L'ARBRESLE</t>
  </si>
  <si>
    <t>2024-09-08</t>
  </si>
  <si>
    <t>Dirigeant &amp; Arbitre</t>
  </si>
  <si>
    <t>06 50 99 44 33</t>
  </si>
  <si>
    <t>111 ROUTE DE LIMONEST</t>
  </si>
  <si>
    <t>S2</t>
  </si>
  <si>
    <t>Sénior 2</t>
  </si>
  <si>
    <t>2024-09-13</t>
  </si>
  <si>
    <t>PIERRE</t>
  </si>
  <si>
    <t>13/01/1949</t>
  </si>
  <si>
    <t>04 78 35 71 40</t>
  </si>
  <si>
    <t>22 CHEMIN DU PANORAMA</t>
  </si>
  <si>
    <t>69570</t>
  </si>
  <si>
    <t>DARDILLY</t>
  </si>
  <si>
    <t>S3</t>
  </si>
  <si>
    <t>Sénior 3</t>
  </si>
  <si>
    <t>2024-07-30</t>
  </si>
  <si>
    <t>2024-09-01</t>
  </si>
  <si>
    <t>Encadrant &amp; Dirigeant &amp; Arbitre</t>
  </si>
  <si>
    <t>01/08/1957</t>
  </si>
  <si>
    <t>06 95 45 44 44</t>
  </si>
  <si>
    <t>7B AVENUE DES AVORAUX</t>
  </si>
  <si>
    <t>69250</t>
  </si>
  <si>
    <t>ALBIGNY-SUR-SAÔNE</t>
  </si>
  <si>
    <t>Encadrant &amp; Dirigeant</t>
  </si>
  <si>
    <t>Arc Chasse</t>
  </si>
  <si>
    <t>N</t>
  </si>
  <si>
    <t>0618521F</t>
  </si>
  <si>
    <t>PICHON</t>
  </si>
  <si>
    <t>Christophe</t>
  </si>
  <si>
    <t>21/04/1976</t>
  </si>
  <si>
    <t>06 64 41 41 80</t>
  </si>
  <si>
    <t>pichon_ch@hotmail.com</t>
  </si>
  <si>
    <t>6A RUE DES COMBATTANTS D'AFN</t>
  </si>
  <si>
    <t>69650</t>
  </si>
  <si>
    <t>QUINCIEUX</t>
  </si>
  <si>
    <t>Adulte pratique en club</t>
  </si>
  <si>
    <t>67</t>
  </si>
  <si>
    <t>06 07 50 62 55</t>
  </si>
  <si>
    <t>998 ROUTE DE LA GARDE</t>
  </si>
  <si>
    <t>69760</t>
  </si>
  <si>
    <t>1026546G</t>
  </si>
  <si>
    <t>10/11/2010</t>
  </si>
  <si>
    <t>Père</t>
  </si>
  <si>
    <t>06 63 60 95 15</t>
  </si>
  <si>
    <t>Mère</t>
  </si>
  <si>
    <t>Jeune</t>
  </si>
  <si>
    <t>U18</t>
  </si>
  <si>
    <t>46</t>
  </si>
  <si>
    <t>BRUNO</t>
  </si>
  <si>
    <t>0607506255</t>
  </si>
  <si>
    <t>28/08/1959</t>
  </si>
  <si>
    <t>MAROC</t>
  </si>
  <si>
    <t>06 10 87 17 24</t>
  </si>
  <si>
    <t>81 ALLÉE DU PARC</t>
  </si>
  <si>
    <t>06 13 77 06 94</t>
  </si>
  <si>
    <t>90 ROUTE NATIONALE 6 LES ACACIAS</t>
  </si>
  <si>
    <t>U15</t>
  </si>
  <si>
    <t>2024-09-14</t>
  </si>
  <si>
    <t>0613770694</t>
  </si>
  <si>
    <t>11/07/1964</t>
  </si>
  <si>
    <t>06 95 28 07 22</t>
  </si>
  <si>
    <t>58B CHEMIN DE LA CLOTRE</t>
  </si>
  <si>
    <t>2024-09-15</t>
  </si>
  <si>
    <t>1027216A</t>
  </si>
  <si>
    <t>MASSON</t>
  </si>
  <si>
    <t>Sébastien</t>
  </si>
  <si>
    <t>20/08/1972</t>
  </si>
  <si>
    <t>06 74 06 28 69</t>
  </si>
  <si>
    <t>sebastienmasson@orange.fr</t>
  </si>
  <si>
    <t>30 ALLÉE DES VERGNES</t>
  </si>
  <si>
    <t>EVELYNE</t>
  </si>
  <si>
    <t>30/10/1952</t>
  </si>
  <si>
    <t>06 60 12 05 55</t>
  </si>
  <si>
    <t>CHEMIN DE L EPI</t>
  </si>
  <si>
    <t>LES CHERES</t>
  </si>
  <si>
    <t>2024-09-17</t>
  </si>
  <si>
    <t>Dirigeant</t>
  </si>
  <si>
    <t>15/01/2011</t>
  </si>
  <si>
    <t>Italien(ne)</t>
  </si>
  <si>
    <t>06 52 88 23 12</t>
  </si>
  <si>
    <t>123 ROUTE DE LOZANNE</t>
  </si>
  <si>
    <t>CHAZAY-D'AZERGUES</t>
  </si>
  <si>
    <t>0652882312</t>
  </si>
  <si>
    <t>11/09/1992</t>
  </si>
  <si>
    <t>06 72 00 39 40</t>
  </si>
  <si>
    <t>10 AVENUE GUY DE COLLONGUE</t>
  </si>
  <si>
    <t>69130</t>
  </si>
  <si>
    <t>ÉCULLY</t>
  </si>
  <si>
    <t>2024-09-18</t>
  </si>
  <si>
    <t>29/01/1994</t>
  </si>
  <si>
    <t>06 18 81 66 92</t>
  </si>
  <si>
    <t>SANDRINE</t>
  </si>
  <si>
    <t>Féminin</t>
  </si>
  <si>
    <t>23/05/1980</t>
  </si>
  <si>
    <t>29/09/2023</t>
  </si>
  <si>
    <t>Club</t>
  </si>
  <si>
    <t>0169190 - LISS'ARC</t>
  </si>
  <si>
    <t>Tir à l&amp;#039;arc</t>
  </si>
  <si>
    <t>0630080830</t>
  </si>
  <si>
    <t>2 CLOS DES BOUVIERS</t>
  </si>
  <si>
    <t>TOUSSIEUX</t>
  </si>
  <si>
    <t>DADAMO</t>
  </si>
  <si>
    <t>Masculin</t>
  </si>
  <si>
    <t>07/11/1972</t>
  </si>
  <si>
    <t>0686081821</t>
  </si>
  <si>
    <t>12 ALLÉE DE MONTFORT</t>
  </si>
  <si>
    <t>20/08/2011</t>
  </si>
  <si>
    <t>22/09/2023</t>
  </si>
  <si>
    <t>0619030266</t>
  </si>
  <si>
    <t>MAXIME</t>
  </si>
  <si>
    <t>01/09/1998</t>
  </si>
  <si>
    <t>15/09/2023</t>
  </si>
  <si>
    <t>0624602412</t>
  </si>
  <si>
    <t>59 ROUTE NATIONALE 6</t>
  </si>
  <si>
    <t>01/03/2009</t>
  </si>
  <si>
    <t>0625293184</t>
  </si>
  <si>
    <t>37 RUE DE LA RÉPUBLIQUE</t>
  </si>
  <si>
    <t>NEUVILLE-SUR-SAÔNE</t>
  </si>
  <si>
    <t>15/01/2012</t>
  </si>
  <si>
    <t>U13</t>
  </si>
  <si>
    <t>11 ALLÉE DE LA COMBE</t>
  </si>
  <si>
    <t>05/01/1947</t>
  </si>
  <si>
    <t>04/09/2023</t>
  </si>
  <si>
    <t>Code Adhérent</t>
  </si>
  <si>
    <t>Sexe</t>
  </si>
  <si>
    <t>Date de naissance</t>
  </si>
  <si>
    <t>Prise le</t>
  </si>
  <si>
    <t>Structure</t>
  </si>
  <si>
    <t>Type</t>
  </si>
  <si>
    <t>Disciplines</t>
  </si>
  <si>
    <t>Mutation</t>
  </si>
  <si>
    <t>Nom du représentant légal</t>
  </si>
  <si>
    <t>Prénom du représentant légal</t>
  </si>
  <si>
    <t>Téléphone du représentant légal</t>
  </si>
  <si>
    <t>Email du représentant légal</t>
  </si>
  <si>
    <t>Nom du représentant légal 2</t>
  </si>
  <si>
    <t>Prénom du représentant légal 2</t>
  </si>
  <si>
    <t>Téléphone du représentant légal 2</t>
  </si>
  <si>
    <t>Email du représentant légal 2</t>
  </si>
  <si>
    <t>18/10/2023</t>
  </si>
  <si>
    <t>23/09/2023</t>
  </si>
  <si>
    <t>23/10/1999</t>
  </si>
  <si>
    <t>12/09/2023</t>
  </si>
  <si>
    <t>0786841375</t>
  </si>
  <si>
    <t>156 AVENUE LÉON-MARIE FOURNET</t>
  </si>
  <si>
    <t>JASSANS-RIOTTIER</t>
  </si>
  <si>
    <t>CHAPON</t>
  </si>
  <si>
    <t>LUC</t>
  </si>
  <si>
    <t>05/07/1965</t>
  </si>
  <si>
    <t>0953039753, 0614399270</t>
  </si>
  <si>
    <t>6 RUE DE LA LIBERTE</t>
  </si>
  <si>
    <t>0618370234</t>
  </si>
  <si>
    <t>351 RUE DES BASSIEUX</t>
  </si>
  <si>
    <t>ANSE</t>
  </si>
  <si>
    <t>09/09/2023</t>
  </si>
  <si>
    <t>0622894754, 0628649406</t>
  </si>
  <si>
    <t>250 CHEMIN DES VERIDAS</t>
  </si>
  <si>
    <t>LACHASSAGNE</t>
  </si>
  <si>
    <t>0622894754</t>
  </si>
  <si>
    <t>0628649406</t>
  </si>
  <si>
    <t>0046948F</t>
  </si>
  <si>
    <t>CAMILLE</t>
  </si>
  <si>
    <t>18/05/2008</t>
  </si>
  <si>
    <t>02/11/2023</t>
  </si>
  <si>
    <t>samuel-gonnet69@gmail.com</t>
  </si>
  <si>
    <t>0622797169, 0688036678</t>
  </si>
  <si>
    <t>272 ROUTE DE MARCILLY</t>
  </si>
  <si>
    <t>CIVRIEUX D AZERGUES</t>
  </si>
  <si>
    <t>0684621867</t>
  </si>
  <si>
    <t>0788973915</t>
  </si>
  <si>
    <t>142 ROUTE RD 306</t>
  </si>
  <si>
    <t>U11</t>
  </si>
  <si>
    <t>142 ROUTE DÉPARTEMENTALE 306</t>
  </si>
  <si>
    <t>03/08/2010</t>
  </si>
  <si>
    <t>0614101244</t>
  </si>
  <si>
    <t>1032 ROUTE DE LYON</t>
  </si>
  <si>
    <t>MURIELLE</t>
  </si>
  <si>
    <t>29/09/1955</t>
  </si>
  <si>
    <t>0610945968</t>
  </si>
  <si>
    <t>L'ARPEGE II&lt;br/&gt;16 RUE JEAN ET CATHERINE REYNIER</t>
  </si>
  <si>
    <t>ST CYR AU MONT D OR</t>
  </si>
  <si>
    <t>18/04/1970</t>
  </si>
  <si>
    <t>0671642433</t>
  </si>
  <si>
    <t>2 CHEMIN DE LA CREPILLERE</t>
  </si>
  <si>
    <t>09/10/2023</t>
  </si>
  <si>
    <t>0607485321</t>
  </si>
  <si>
    <t>2192 ROUTE DE LIMONEST</t>
  </si>
  <si>
    <t>28/09/2008</t>
  </si>
  <si>
    <t>0608508901, 0664937440</t>
  </si>
  <si>
    <t>691 CHEMIN DE FROMENTIN</t>
  </si>
  <si>
    <t>0608508901</t>
  </si>
  <si>
    <t>FFTA</t>
  </si>
  <si>
    <t>Maillot</t>
  </si>
  <si>
    <t>Taille</t>
  </si>
  <si>
    <t>Total</t>
  </si>
  <si>
    <t>Ch</t>
  </si>
  <si>
    <t xml:space="preserve"> Virt</t>
  </si>
  <si>
    <t>PassRégion</t>
  </si>
  <si>
    <t>PassSport</t>
  </si>
  <si>
    <t>Verif</t>
  </si>
  <si>
    <t>XXL</t>
  </si>
  <si>
    <t>14ans</t>
  </si>
  <si>
    <t>L - XL</t>
  </si>
  <si>
    <t>0917473D</t>
  </si>
  <si>
    <t>PERRAUD</t>
  </si>
  <si>
    <t>Jerome</t>
  </si>
  <si>
    <t>28/05/1980</t>
  </si>
  <si>
    <t>06 88 88 50 38</t>
  </si>
  <si>
    <t>perraudjerome@yahoo.fr</t>
  </si>
  <si>
    <t>4 RUE MOZART</t>
  </si>
  <si>
    <t>2024-09-20</t>
  </si>
  <si>
    <t>0017329L</t>
  </si>
  <si>
    <t>GRANGE</t>
  </si>
  <si>
    <t>Amandine</t>
  </si>
  <si>
    <t>20/05/1983</t>
  </si>
  <si>
    <t>06 58 22 47 59</t>
  </si>
  <si>
    <t>grange.amandine2005@gmail.com</t>
  </si>
  <si>
    <t>5 RUE DU TOUR</t>
  </si>
  <si>
    <t>ETATS-UNIS</t>
  </si>
  <si>
    <t>06 86 08 18 21</t>
  </si>
  <si>
    <t>D'Adamo</t>
  </si>
  <si>
    <t>0018462T</t>
  </si>
  <si>
    <t>JEANSELME</t>
  </si>
  <si>
    <t>Maelys</t>
  </si>
  <si>
    <t>25/04/2008</t>
  </si>
  <si>
    <t>06 45 37 23 45</t>
  </si>
  <si>
    <t>stgama69@gmail.com</t>
  </si>
  <si>
    <t>17 H RUE ERNEST FABREGUE</t>
  </si>
  <si>
    <t>69009</t>
  </si>
  <si>
    <t>LYON</t>
  </si>
  <si>
    <t>VERDIER</t>
  </si>
  <si>
    <t>STEPHANIE</t>
  </si>
  <si>
    <t>0645372345</t>
  </si>
  <si>
    <t>06 28 33 77 28</t>
  </si>
  <si>
    <t>06 19 03 02 66</t>
  </si>
  <si>
    <t>XL</t>
  </si>
  <si>
    <t>Loc Sept</t>
  </si>
  <si>
    <t>Licence M. Jeanselme (Verdier)</t>
  </si>
  <si>
    <t>Licence Margaud et Franck D'Adamo (177 + 134)</t>
  </si>
  <si>
    <t>Licence A.Grange +maillot 25</t>
  </si>
  <si>
    <t>Licence Perraud</t>
  </si>
  <si>
    <t>Virement Butsch</t>
  </si>
  <si>
    <t>Reliquat licence M.Butsch</t>
  </si>
  <si>
    <t>1029999B</t>
  </si>
  <si>
    <t>VANDERSCHOOTEN</t>
  </si>
  <si>
    <t>Claude</t>
  </si>
  <si>
    <t>05/10/1951</t>
  </si>
  <si>
    <t>06 21 65 16 18</t>
  </si>
  <si>
    <t>chcl.vds@gmail.com</t>
  </si>
  <si>
    <t>12 CHEMIN ALEXANDRE GUILLET LE CHÊNE</t>
  </si>
  <si>
    <t>2024-09-21</t>
  </si>
  <si>
    <t>S</t>
  </si>
  <si>
    <t>Licence Vanderschooten</t>
  </si>
  <si>
    <t>remise de cheques n°9612574 (partielle de 2040€)</t>
  </si>
  <si>
    <t>1000528O</t>
  </si>
  <si>
    <t>PIATON</t>
  </si>
  <si>
    <t>André</t>
  </si>
  <si>
    <t>12/03/1955</t>
  </si>
  <si>
    <t>06 03 88 79 12</t>
  </si>
  <si>
    <t>a.piaton@wanadoo.fr</t>
  </si>
  <si>
    <t>491 RUE SAINT EXUPÉRY</t>
  </si>
  <si>
    <t>2024-09-24</t>
  </si>
  <si>
    <t>1031875F</t>
  </si>
  <si>
    <t>CESARI</t>
  </si>
  <si>
    <t>14/07/1972</t>
  </si>
  <si>
    <t>06 74 66 75 70</t>
  </si>
  <si>
    <t>sarlcesari.christophe@sfr.fr</t>
  </si>
  <si>
    <t>301 CHEMIN DES MARCHAUDIERES</t>
  </si>
  <si>
    <t>CIVRIEUX-D'AZERGUES</t>
  </si>
  <si>
    <t>1031877H</t>
  </si>
  <si>
    <t>PRINMAZ</t>
  </si>
  <si>
    <t>Arnaud</t>
  </si>
  <si>
    <t>17/08/1998</t>
  </si>
  <si>
    <t>06 71 66 69 35</t>
  </si>
  <si>
    <t>a.prinmaz@laposte.net</t>
  </si>
  <si>
    <t>9 RUE DE L'EGLISE</t>
  </si>
  <si>
    <t>69480</t>
  </si>
  <si>
    <t>MORANCÉ</t>
  </si>
  <si>
    <t>1031878I</t>
  </si>
  <si>
    <t>Françoise</t>
  </si>
  <si>
    <t>14/06/1966</t>
  </si>
  <si>
    <t>06 20 46 94 88</t>
  </si>
  <si>
    <t>daretgilbert@yahoo.fr</t>
  </si>
  <si>
    <t>0590963B</t>
  </si>
  <si>
    <t>RABUT</t>
  </si>
  <si>
    <t>Damien</t>
  </si>
  <si>
    <t>30/11/1989</t>
  </si>
  <si>
    <t>06 29 68 39 35</t>
  </si>
  <si>
    <t>damien.rabut@gmail.com</t>
  </si>
  <si>
    <t>71 CHEMIN DE MALLICOT</t>
  </si>
  <si>
    <t>69620</t>
  </si>
  <si>
    <t>FRONTENAS</t>
  </si>
  <si>
    <t>1031884O</t>
  </si>
  <si>
    <t>Maurice</t>
  </si>
  <si>
    <t>26/10/1961</t>
  </si>
  <si>
    <t>06 20 53 07 30</t>
  </si>
  <si>
    <t>maurice.rabut@hotmail.fr</t>
  </si>
  <si>
    <t>23BIS CHEMIN DE MONTHUZIN</t>
  </si>
  <si>
    <t>06 64 77 62 55</t>
  </si>
  <si>
    <t>contact@lahu.re</t>
  </si>
  <si>
    <t>Lahure</t>
  </si>
  <si>
    <t>0664776265</t>
  </si>
  <si>
    <t>mère</t>
  </si>
  <si>
    <t>06 28 21 62 58</t>
  </si>
  <si>
    <t>Famille</t>
  </si>
  <si>
    <t>remise de chèques n° 9612573</t>
  </si>
  <si>
    <t>licence M. Rabut (partielle 70 / 210)</t>
  </si>
  <si>
    <t>Licence D.Rabut (partielle 63 de 188)</t>
  </si>
  <si>
    <t>licence de A.Prinmaz</t>
  </si>
  <si>
    <t>licence de C.Cesari (partielle 110 de 210)</t>
  </si>
  <si>
    <t xml:space="preserve">Salaire Nicolas Septembre </t>
  </si>
  <si>
    <t>licence J.Lahure (trop perçu 7€ , reporté sur loc arc)</t>
  </si>
  <si>
    <t>1032373J</t>
  </si>
  <si>
    <t>BARRAL</t>
  </si>
  <si>
    <t>Romain</t>
  </si>
  <si>
    <t>02/02/1959</t>
  </si>
  <si>
    <t>06 69 99 52 06</t>
  </si>
  <si>
    <t>romain.cuir@gmail.com</t>
  </si>
  <si>
    <t>3012 ROUTE DE CHAMBOST</t>
  </si>
  <si>
    <t>69870</t>
  </si>
  <si>
    <t>CHAMBOST-ALLIÈRES</t>
  </si>
  <si>
    <t>2024-09-25</t>
  </si>
  <si>
    <t>1033283J</t>
  </si>
  <si>
    <t>Elodie</t>
  </si>
  <si>
    <t>21/02/2013</t>
  </si>
  <si>
    <t>2024-09-26</t>
  </si>
  <si>
    <t>masson</t>
  </si>
  <si>
    <t>sébastien</t>
  </si>
  <si>
    <t>0674062869</t>
  </si>
  <si>
    <t>mariabrignoli77@gmail.com</t>
  </si>
  <si>
    <t>2024-09-27</t>
  </si>
  <si>
    <t>lesne</t>
  </si>
  <si>
    <t>thomas</t>
  </si>
  <si>
    <t>0650994433</t>
  </si>
  <si>
    <t>brignoli</t>
  </si>
  <si>
    <t>maria</t>
  </si>
  <si>
    <t>0662779868</t>
  </si>
  <si>
    <t>0985127R</t>
  </si>
  <si>
    <t>RIVIERE</t>
  </si>
  <si>
    <t>David</t>
  </si>
  <si>
    <t>27/02/1980</t>
  </si>
  <si>
    <t>06 28 45 54 97</t>
  </si>
  <si>
    <t>anneclaire.riviere@gmail.com</t>
  </si>
  <si>
    <t>5 AVENUE JEAN JACQUES DE BOISSIEU</t>
  </si>
  <si>
    <t>?</t>
  </si>
  <si>
    <t xml:space="preserve">L </t>
  </si>
  <si>
    <t>L</t>
  </si>
  <si>
    <t>Loc arc Julie (23 + 7 trop perçu sur licence</t>
  </si>
  <si>
    <t>Licence D. Riviere</t>
  </si>
  <si>
    <t>Loc Arc Margaux</t>
  </si>
  <si>
    <t>père</t>
  </si>
  <si>
    <t>mere</t>
  </si>
  <si>
    <t>06 62 77 98 68</t>
  </si>
  <si>
    <t>maëlys</t>
  </si>
  <si>
    <t>non</t>
  </si>
  <si>
    <t>1034588O</t>
  </si>
  <si>
    <t>LOPEZ</t>
  </si>
  <si>
    <t>Alexandre</t>
  </si>
  <si>
    <t>02/09/2013</t>
  </si>
  <si>
    <t>06 50 67 45 36</t>
  </si>
  <si>
    <t>maralou3@hotmail.fr</t>
  </si>
  <si>
    <t>caramalus@hotmail.fr</t>
  </si>
  <si>
    <t>2 CHEMIN DES ETANGS</t>
  </si>
  <si>
    <t>2024-09-28</t>
  </si>
  <si>
    <t>lopez</t>
  </si>
  <si>
    <t>yohan</t>
  </si>
  <si>
    <t>0650674536</t>
  </si>
  <si>
    <t>0625087947</t>
  </si>
  <si>
    <t>1034594U</t>
  </si>
  <si>
    <t>QUENEY</t>
  </si>
  <si>
    <t>Guillaume</t>
  </si>
  <si>
    <t>21/07/1969</t>
  </si>
  <si>
    <t>06 60 14 77 26</t>
  </si>
  <si>
    <t>172 CHEMIN DES MULETS</t>
  </si>
  <si>
    <t>Loc arc Camille Piedanna</t>
  </si>
  <si>
    <t>Licence Alex et guillaume Queney</t>
  </si>
  <si>
    <t>guillaume@queney.eu</t>
  </si>
  <si>
    <t>marabou3@hotmail.fr</t>
  </si>
  <si>
    <t>06 25 29 31 84</t>
  </si>
  <si>
    <t>69380 LISSIEU</t>
  </si>
  <si>
    <t>1044744E</t>
  </si>
  <si>
    <t>MICHEL</t>
  </si>
  <si>
    <t>Philippe</t>
  </si>
  <si>
    <t>02/09/1969</t>
  </si>
  <si>
    <t>06 76 09 99 80</t>
  </si>
  <si>
    <t>ph-michel@live.fr</t>
  </si>
  <si>
    <t>5 CHEMIN DE LA FERME</t>
  </si>
  <si>
    <t>1044737X</t>
  </si>
  <si>
    <t>VAN EENOO</t>
  </si>
  <si>
    <t>30/11/1983</t>
  </si>
  <si>
    <t>06 79 38 10 61</t>
  </si>
  <si>
    <t>odivan69@yahoo.fr</t>
  </si>
  <si>
    <t>VIREMENT EN VOTRE FAVEUR
PAIERIE REGIONALE D'AUVERGNE RHO 26416 - LISS ARC 
260690800HEL069A808714SCO10/2024-40</t>
  </si>
  <si>
    <t xml:space="preserve">VIREMENT EN VOTRE FAVEUR DE MENU PIERRE </t>
  </si>
  <si>
    <t xml:space="preserve">cotisation famille SAYVE </t>
  </si>
  <si>
    <t xml:space="preserve">VIREMENT EN VOTRE FAVEUR de M ou Mme SAYVE </t>
  </si>
  <si>
    <t xml:space="preserve">licence Nolwenn Le Padellec   </t>
  </si>
  <si>
    <t xml:space="preserve">licence Jules Lesne Brignoli               </t>
  </si>
  <si>
    <t>VIREMENT EN VOTRE FAVEUR LESNE THOMAS</t>
  </si>
  <si>
    <t>VIREMENT EN VOTRE FAVEUR Nolwenn Le Padellec</t>
  </si>
  <si>
    <t>licence P et C Menu</t>
  </si>
  <si>
    <t>Licence A. Van Eenoo et P. Michel</t>
  </si>
  <si>
    <t xml:space="preserve">VIREMENT EN VOTRE FAVEUR de MR MICHEL PHILIPPE </t>
  </si>
  <si>
    <t xml:space="preserve">CHEQUE EMIS             1925047 </t>
  </si>
  <si>
    <t>licence de Marie</t>
  </si>
  <si>
    <t xml:space="preserve">PRELEVEMENT  FFTA Information Prlv 20241001-0001 
0169190-01           FR59ZZZ407318                               </t>
  </si>
  <si>
    <t xml:space="preserve">REMISE DE CHEQUE        3086536 </t>
  </si>
  <si>
    <t>fleches de Elodie et Seb Masson</t>
  </si>
  <si>
    <t>VIREMENT EN VOTRE FAVEUR MASSON</t>
  </si>
  <si>
    <t xml:space="preserve">CHEQUE EMIS           7424594 </t>
  </si>
  <si>
    <t>location d'arc pour le premier trimestre Francesco</t>
  </si>
  <si>
    <t xml:space="preserve">
Virement de M BOSIO A OU MLE BARACC</t>
  </si>
  <si>
    <t xml:space="preserve">VIREMENT EN VOTRE FAVEUR M ROMAIN BARRAL </t>
  </si>
  <si>
    <t>licence R.Barral</t>
  </si>
  <si>
    <t xml:space="preserve">licence Elodie Masson </t>
  </si>
  <si>
    <t xml:space="preserve">VIREMENT EN VOTRE FAVEUR  lopez alexandre            </t>
  </si>
  <si>
    <t xml:space="preserve">VIREMENT EN VOTRE FAVEUR MME PENEVEYRE SARAH     </t>
  </si>
  <si>
    <t>Fleches Deb.</t>
  </si>
  <si>
    <t>Fleches Camille Piédanna</t>
  </si>
  <si>
    <t>Fleches Rabut (x2)</t>
  </si>
  <si>
    <t>Fleches Cesari</t>
  </si>
  <si>
    <t>fleches Vandershooten</t>
  </si>
  <si>
    <t>fleches Daret</t>
  </si>
  <si>
    <t xml:space="preserve">    </t>
  </si>
  <si>
    <t>Pass Sport Rgion Maëlys</t>
  </si>
  <si>
    <t>remise cheques 3086537 partielle</t>
  </si>
  <si>
    <t>remise cheques 9612577 partielle</t>
  </si>
  <si>
    <t>licence partielle Cesari</t>
  </si>
  <si>
    <t>licence partielle Piaton</t>
  </si>
  <si>
    <t>licence partielle S. Daret</t>
  </si>
  <si>
    <t>licence partielle D.Rabut</t>
  </si>
  <si>
    <t>licence partielle M. Rabut</t>
  </si>
  <si>
    <t>licence partielle N. Couesnon (ch Mlle Michon)</t>
  </si>
  <si>
    <t>Simone</t>
  </si>
  <si>
    <t>Licence Simone Daret (partielle 78 de 155)</t>
  </si>
  <si>
    <t>Loc Janv</t>
  </si>
  <si>
    <t>Loc Avril</t>
  </si>
  <si>
    <t>Caution</t>
  </si>
  <si>
    <t>Cotisation club Nathan partielle, Pass Sport Nathan</t>
  </si>
  <si>
    <t>Cotisation club Jules partielle,PassSport Jules</t>
  </si>
  <si>
    <t>Virement DRFIP Ile de France et Paris (100€)</t>
  </si>
  <si>
    <t>RECETTES 23-24</t>
  </si>
  <si>
    <t>DEPENSES 23-24</t>
  </si>
  <si>
    <t>RECETTES 24-25</t>
  </si>
  <si>
    <t>DEPENSES 24-25</t>
  </si>
  <si>
    <t>LICENCES / COTISATION</t>
  </si>
  <si>
    <t>MAIRIE SUBV.</t>
  </si>
  <si>
    <t>ANIMATION</t>
  </si>
  <si>
    <t>LOCATION ARCS</t>
  </si>
  <si>
    <t>ENTRAINEUR</t>
  </si>
  <si>
    <t>CONVIVIALITE</t>
  </si>
  <si>
    <t>FORMATION (Participation Stage)</t>
  </si>
  <si>
    <t>TOTAUX</t>
  </si>
  <si>
    <t>BUDGET</t>
  </si>
  <si>
    <t>REALISE</t>
  </si>
  <si>
    <t>1047242G</t>
  </si>
  <si>
    <t>Alex</t>
  </si>
  <si>
    <t>12/02/2007</t>
  </si>
  <si>
    <t>06 20 71 61 69</t>
  </si>
  <si>
    <t>alex.queney@icloud.com</t>
  </si>
  <si>
    <t>U21</t>
  </si>
  <si>
    <t>2024-10-28</t>
  </si>
  <si>
    <t>queney</t>
  </si>
  <si>
    <t>guillaume</t>
  </si>
  <si>
    <t>0660147726</t>
  </si>
  <si>
    <t>Nb</t>
  </si>
  <si>
    <t>Genre</t>
  </si>
  <si>
    <t>Prénom au dos</t>
  </si>
  <si>
    <t>Homme</t>
  </si>
  <si>
    <t xml:space="preserve"> </t>
  </si>
  <si>
    <t>Femme</t>
  </si>
  <si>
    <t>Maëlys</t>
  </si>
  <si>
    <t>ne pas oublier le tréma</t>
  </si>
  <si>
    <t>Cotis club partielle Marie</t>
  </si>
  <si>
    <t>licence partielle Marie</t>
  </si>
  <si>
    <t xml:space="preserve">VIREMENT  DE MENU PIERRE </t>
  </si>
  <si>
    <t>Remb Pierre (mat perso) sur ch 7424594</t>
  </si>
  <si>
    <t>Paiement Maillots</t>
  </si>
  <si>
    <t xml:space="preserve">VIREMENT EN VOTRE FAVEUR DE MME PENEVEYRE SARAH 
</t>
  </si>
  <si>
    <t>Licence Lopez Alexandre (j'ai fait cadeau des 3€ qui manque pour les flèches, ils voulait payer en liquide)</t>
  </si>
  <si>
    <t>VIREMENT  DEM. Butsch - Engrand</t>
  </si>
  <si>
    <t xml:space="preserve">CHEQUE EMIS   1925048 </t>
  </si>
  <si>
    <t>PRELEVEMENT  URSSAF RHONE ALPES UR 827000002184626493    SEPT24124338683108151124 
069077CT120180906140613A000114305  FR55ZZZ143065      TT408272411082004124338683108003980</t>
  </si>
  <si>
    <t>Salaire Nicolas Octobre</t>
  </si>
  <si>
    <t xml:space="preserve">PRELEVEMENT FFTA Information Prlv 20241104-0001 
0169190-01      FR59ZZZ407318         </t>
  </si>
  <si>
    <t>licence partielle A. Piaton</t>
  </si>
  <si>
    <t>licence partielle M.Rabut</t>
  </si>
  <si>
    <t>fleche R.Barral</t>
  </si>
  <si>
    <t>Fleches M. Philippe</t>
  </si>
  <si>
    <t>Fleches A. Van Eenoo</t>
  </si>
  <si>
    <t>Remise de cheques partielle 3166113 (x3) 203€</t>
  </si>
  <si>
    <t>Remise de cheques partielle 3166117 (x3) 96€</t>
  </si>
  <si>
    <t>SOLDES sur l'année (hors report)</t>
  </si>
  <si>
    <t>MAT. SPORTIF INVESTISSEMENT</t>
  </si>
  <si>
    <t>Carte région Alex Queney</t>
  </si>
  <si>
    <t>Qui</t>
  </si>
  <si>
    <t>Quand</t>
  </si>
  <si>
    <t>Quoi</t>
  </si>
  <si>
    <t>km</t>
  </si>
  <si>
    <t>Coût km</t>
  </si>
  <si>
    <t>peage/parking</t>
  </si>
  <si>
    <t>Pierre</t>
  </si>
  <si>
    <t>AG Ligue AURA</t>
  </si>
  <si>
    <t>RFIP ILE DE FRANCE ET DE PARIS 145116424 PASS PSP-DR-AURA-24-7565 MINISTERE DES SPORTS PASS-SPORT LISS ARC</t>
  </si>
  <si>
    <t>Virement vers P.Menu</t>
  </si>
  <si>
    <t>Concours Médailles</t>
  </si>
  <si>
    <t>Facture Lyon Archerie : FC2406115 Arc Core Meat Jaune + Palettes + résine</t>
  </si>
  <si>
    <t>Sac à dos Decathlon</t>
  </si>
  <si>
    <t>cheque emis 1925052 P.Oliveau</t>
  </si>
  <si>
    <t>Abonnement Premium site internet</t>
  </si>
  <si>
    <t>cheque emis 1925053 P.Oliveau</t>
  </si>
  <si>
    <t>Remboursement Formation + Trajet Patrice Oliveau</t>
  </si>
  <si>
    <t>Salaire Nicolas novembre</t>
  </si>
  <si>
    <t>Virement sur le compte dépôt</t>
  </si>
  <si>
    <t>SOLDE ANNEE 2023-24</t>
  </si>
  <si>
    <t>cheque emis 7424596</t>
  </si>
  <si>
    <t>Cartouche encre Club + Pierre (241205 cartouches encre)</t>
  </si>
  <si>
    <t>cheque 7424597</t>
  </si>
  <si>
    <t>Ruban adhésif concours (241205 Casto ruban adhésif concours)</t>
  </si>
  <si>
    <t xml:space="preserve">Cheque 7424599 </t>
  </si>
  <si>
    <t>5 manchettes (241205 Fact LA achat manchettes partielle)</t>
  </si>
  <si>
    <t>Cheque 7424595</t>
  </si>
  <si>
    <t>Divers remboursements déplacement Pierre (241205 frais deplact Pierre)</t>
  </si>
  <si>
    <t>Frais Formation stage</t>
  </si>
  <si>
    <t xml:space="preserve">VIREMENT de MME PENEVEYRE SARAH    </t>
  </si>
  <si>
    <t>remise de cheques partielle 9612578 : 96€</t>
  </si>
  <si>
    <t>Maillot Evelyne</t>
  </si>
  <si>
    <t>Cotisation partielle A. Piaton (dernier tiers)</t>
  </si>
  <si>
    <t>Paiement partiel Fleches Alex Queney</t>
  </si>
  <si>
    <t>Cheque 2282853</t>
  </si>
  <si>
    <t>Achats coupe Budget trophy (241210 Achat coupes concours)</t>
  </si>
  <si>
    <t>Remise de cheque 3166118 partielle</t>
  </si>
  <si>
    <t>Fleche guillaume Queney (32€) + solde Alex (2€)</t>
  </si>
  <si>
    <t>Fleche Arnaud Prinmaz</t>
  </si>
  <si>
    <t>11/12/245</t>
  </si>
  <si>
    <t>cotisation partielle Marie</t>
  </si>
  <si>
    <t>Cheque emis 2282852</t>
  </si>
  <si>
    <t>Blasons concours (241206 achat  blasons (76€))</t>
  </si>
  <si>
    <t>Cheque emis 1925054 B. Piedanna</t>
  </si>
  <si>
    <t>PRELEVEMENT    URSSAF RHONE ALPES UR 827000002184626493    OCT 24124418683108161224 
069077CT120180906140613A000114305  FR55ZZZ143065                      
TT408272412102003124418683108003994</t>
  </si>
  <si>
    <t>CHEQUE EMIS         2282854</t>
  </si>
  <si>
    <t>CHEQUE EMIS             2282855</t>
  </si>
  <si>
    <t>Tube PVC + accessoires pour terrain</t>
  </si>
  <si>
    <t>241216 facture cadeaux arbitres (105,5€ ch 2282854)</t>
  </si>
  <si>
    <t>Maillots</t>
  </si>
  <si>
    <t xml:space="preserve">Cheque emis 1925055 Anna Créa </t>
  </si>
  <si>
    <t>Fond de caisse concours</t>
  </si>
  <si>
    <t>cheque émis 1925056 P. Oliveau</t>
  </si>
  <si>
    <t>dada</t>
  </si>
  <si>
    <t>Cheque emis 7424593</t>
  </si>
  <si>
    <t>Cheque emis 1925057 N. Dairon</t>
  </si>
  <si>
    <t>Salaire Nicolas décembre</t>
  </si>
  <si>
    <t xml:space="preserve">ASSOC.   LISS'ARC                                               </t>
  </si>
  <si>
    <t>Livret A association carte n° 04137964100</t>
  </si>
  <si>
    <t xml:space="preserve">INTERETS CREDITEURS     
DE L'ANNEE TAUX  3,000% </t>
  </si>
  <si>
    <t>Remise de cheque 3166119 partielle (66€)</t>
  </si>
  <si>
    <t>Location arc Janv-Fev-Mars Rabut Damien</t>
  </si>
  <si>
    <t>Remboursement blasons par archers caladois</t>
  </si>
  <si>
    <t>FACTURE LYON 8</t>
  </si>
  <si>
    <t>Engagements / Greffe</t>
  </si>
  <si>
    <t>Casoccoli Colin</t>
  </si>
  <si>
    <t>Cigno Calippe Sioghan</t>
  </si>
  <si>
    <t>Cigno Calippe Aodhan</t>
  </si>
  <si>
    <t>Dreano Charline</t>
  </si>
  <si>
    <t>Ray Noa</t>
  </si>
  <si>
    <t>Secchi Jean Christophe</t>
  </si>
  <si>
    <t>Secchi Léo</t>
  </si>
  <si>
    <t>Calippe Anne</t>
  </si>
  <si>
    <t>1 Adulte accompagnant CRJ</t>
  </si>
  <si>
    <t>TOTAL GREFFE</t>
  </si>
  <si>
    <t>Buvette / consommation</t>
  </si>
  <si>
    <t>Hot dog : (3 x 2,5)</t>
  </si>
  <si>
    <t>Sandwich : (2 x 2,5)</t>
  </si>
  <si>
    <t>Café (2)</t>
  </si>
  <si>
    <t>TOTAL BUVETTE</t>
  </si>
  <si>
    <t>Grand TOTAL</t>
  </si>
  <si>
    <t xml:space="preserve">VIREMENT EN VOTRE FAVEUR
VIR INST de M MASSON SEBASTIEN Location arc Elo et Seb </t>
  </si>
  <si>
    <t xml:space="preserve">VIREMENT EN VOTRE FAVEUR
DE LISS'ARC </t>
  </si>
  <si>
    <t xml:space="preserve">VIREMENT EN VOTRE FAVEUR
VIR INST de Stephanie VERDIER Location Arc Jeanselme Maelys </t>
  </si>
  <si>
    <t xml:space="preserve">VIREMENT EN VOTRE FAVEUR
VIR INST de Amandine Alexandre L Location arc Julie Lahure </t>
  </si>
  <si>
    <t>Loc Arc Janv Julie</t>
  </si>
  <si>
    <t>Loc Arc Janv Maelys</t>
  </si>
  <si>
    <t xml:space="preserve">VIREMENT EN VOTRE FAVEUR M BOSIO A OU MLE BARACCO P </t>
  </si>
  <si>
    <t>Loc Arc JanvFrancesco</t>
  </si>
  <si>
    <t xml:space="preserve">PRELEVEMENT   MAIF 79038 NIORT CEDEX ECHEANCE JANVIER  2025 
00100005738715D    FR70ZZZ000884       0008844580742M                     </t>
  </si>
  <si>
    <t>Transfert Livret vers compte courant</t>
  </si>
  <si>
    <t xml:space="preserve">CHEQUE EMIS             1925051 </t>
  </si>
  <si>
    <t xml:space="preserve">VIREMENT EN VOTRE FAVEUR   MME PENEVEYRE SARAH    </t>
  </si>
  <si>
    <t>Cotisation Marie</t>
  </si>
  <si>
    <t>Loc arc Sébastien et Elodie</t>
  </si>
  <si>
    <t>Tinot</t>
  </si>
  <si>
    <t>Dutrieux</t>
  </si>
  <si>
    <t>Peucat</t>
  </si>
  <si>
    <t>Reynaud</t>
  </si>
  <si>
    <t>Berque</t>
  </si>
  <si>
    <t>Bouffard</t>
  </si>
  <si>
    <t>Montmerle</t>
  </si>
  <si>
    <t>SLCTA</t>
  </si>
  <si>
    <t>Garcia</t>
  </si>
  <si>
    <t>Chardigny</t>
  </si>
  <si>
    <t>Prabel</t>
  </si>
  <si>
    <t>Desbois</t>
  </si>
  <si>
    <t>Remise de cheques Greffe
3166114</t>
  </si>
  <si>
    <t>Remise en cheques 3166114</t>
  </si>
  <si>
    <t>Cheques greffe concours</t>
  </si>
  <si>
    <t>Greffe: Lyon 8</t>
  </si>
  <si>
    <t>Greffe : remise de cheques : 3166114</t>
  </si>
  <si>
    <t>Cheque emis 1925058</t>
  </si>
  <si>
    <t>Achat Patrice Repas Arbitres Leclerc</t>
  </si>
  <si>
    <t>Cheque emis 1925059</t>
  </si>
  <si>
    <t>Achat Clés pour paillon Nolwenn</t>
  </si>
  <si>
    <t>Cheque emis 1925060</t>
  </si>
  <si>
    <t>Achat Buvette Concours Leclerc Alain</t>
  </si>
  <si>
    <t>Pot Nutella 1 kg</t>
  </si>
  <si>
    <t>B</t>
  </si>
  <si>
    <t>P</t>
  </si>
  <si>
    <t>Chips 370gr</t>
  </si>
  <si>
    <t>Compote 72cl Pom Poires</t>
  </si>
  <si>
    <t>Cacahuettes grillée 1,4kg</t>
  </si>
  <si>
    <t>Mayonnaise 450</t>
  </si>
  <si>
    <t>Stracusbas cont cit jau 20cl</t>
  </si>
  <si>
    <t>Café Gr mêre 2x250 (total 4 paq)</t>
  </si>
  <si>
    <t>Ketchup 430gr</t>
  </si>
  <si>
    <t>Moutarde</t>
  </si>
  <si>
    <t>The 30sachets</t>
  </si>
  <si>
    <t>Orangina 1,5l</t>
  </si>
  <si>
    <t>Orangina 12 x 33 cl</t>
  </si>
  <si>
    <t>Oasis 24 x 33cl</t>
  </si>
  <si>
    <t>Ice The Lipton peche 1,25L</t>
  </si>
  <si>
    <t>Ice The Lipton Peche 10x33</t>
  </si>
  <si>
    <t>Cidre 75cl</t>
  </si>
  <si>
    <t>Coca cola 6x1,75l</t>
  </si>
  <si>
    <t>Coca cola 12x33cl</t>
  </si>
  <si>
    <t>20 saucisse 1kg</t>
  </si>
  <si>
    <t>Beurre 250gr</t>
  </si>
  <si>
    <t>Petit brie 500gr</t>
  </si>
  <si>
    <t>Jambon sup 8 tranches</t>
  </si>
  <si>
    <t>Oasis 2 x 1,5l (additionnel Proxi)</t>
  </si>
  <si>
    <t>40 baguettes Auchan</t>
  </si>
  <si>
    <t>Dépences</t>
  </si>
  <si>
    <t>Greffe: Fond de caisse</t>
  </si>
  <si>
    <t>Buvette: Billet 20€ (11)</t>
  </si>
  <si>
    <t>Buvette: pièce 2€ (57)</t>
  </si>
  <si>
    <t>Buvette: pièce 10c (15)</t>
  </si>
  <si>
    <t>Buvette: fond de caisse:</t>
  </si>
  <si>
    <t>BUVETTE:</t>
  </si>
  <si>
    <t>Distribution</t>
  </si>
  <si>
    <t>Reste</t>
  </si>
  <si>
    <t>Jambon additionnel (2x6)</t>
  </si>
  <si>
    <t>Conso</t>
  </si>
  <si>
    <t>Greffe : billet de 10€ (40)</t>
  </si>
  <si>
    <t>Buvette: Billet 10€ (30)</t>
  </si>
  <si>
    <t>Buvette: Billet 5€ (12)</t>
  </si>
  <si>
    <t>Buvette; lyon 8</t>
  </si>
  <si>
    <t>Greffe : billet de 50€ (10)</t>
  </si>
  <si>
    <t>Greffe : billet de 20€ (23)</t>
  </si>
  <si>
    <t>Greffe : billet de 5€ (5)</t>
  </si>
  <si>
    <t>Greffe:Pieces de 2€ (30)</t>
  </si>
  <si>
    <t>Greffe: Pieces de 1€ rouleau (2 x 25€) + 3x1€</t>
  </si>
  <si>
    <t>Buvette: pièce 1€ (44)</t>
  </si>
  <si>
    <t>Buvette: pièce 50c (1x20€) +(27x0,5€)</t>
  </si>
  <si>
    <t>Buvette: pièce 20c (27)</t>
  </si>
  <si>
    <t>Greffe: Pieces de 0,50 (4)</t>
  </si>
  <si>
    <t>Repas Arbitre et Club (environ 30 repas (10+10+10</t>
  </si>
  <si>
    <t>Achats Patrice</t>
  </si>
  <si>
    <t>Achat Alain</t>
  </si>
  <si>
    <t>Achats Evelyne (potage)</t>
  </si>
  <si>
    <t>Pris sur caisse : jambon</t>
  </si>
  <si>
    <t>Pris sur Caisse: Baguette</t>
  </si>
  <si>
    <t>Pris sur caisse: ramette papier</t>
  </si>
  <si>
    <t xml:space="preserve">VIREMENT EN VOTRE FAVEUR  MME V LAMARCHE BARRAL </t>
  </si>
  <si>
    <t>Loc arc Barral</t>
  </si>
  <si>
    <t xml:space="preserve">VIREMENT EN VOTRE FAVEUR  ASS LES LIONS DU 8EME </t>
  </si>
  <si>
    <t>Greffe concours Lyon8</t>
  </si>
  <si>
    <t>PRELEVEMENT      URSSAF RHONE ALPES UR 827000002184626493    NOV 24124428683108150125 
069077CT120180906140613A000114305        FR55ZZZ143065                      
TT408272501091947124428683108004013</t>
  </si>
  <si>
    <t>Prelevement URSSAF</t>
  </si>
  <si>
    <t>Pris sur caisse: timbre pour Grain</t>
  </si>
  <si>
    <t>Pris sur caisse: 2x1,5l Oasis</t>
  </si>
  <si>
    <t>Timbre pour courrier Grain</t>
  </si>
  <si>
    <t>Buvette: Achats: Alain Leclerc</t>
  </si>
  <si>
    <t>Buvette : Crepe Pierre</t>
  </si>
  <si>
    <t>Pot: Cakes</t>
  </si>
  <si>
    <t>Pot: Gobelets</t>
  </si>
  <si>
    <t>Crepes :</t>
  </si>
  <si>
    <t>Flèches éliminatoires</t>
  </si>
  <si>
    <t>NOTE ALAIN LECLERC</t>
  </si>
  <si>
    <t>NOTE RETOUR REMBOURSEMENT LECLERC ALAIN</t>
  </si>
  <si>
    <t>Buvette: Retour Leclerc</t>
  </si>
  <si>
    <t>Achats Pierre Cake</t>
  </si>
  <si>
    <t xml:space="preserve">Achats Alain </t>
  </si>
  <si>
    <t xml:space="preserve">Achat additionnel : Oasis 2x1,5l </t>
  </si>
  <si>
    <t>Gobelets</t>
  </si>
  <si>
    <t>Médailles</t>
  </si>
  <si>
    <t>Coupes</t>
  </si>
  <si>
    <t xml:space="preserve">VIREMENT EN VOTRE FAVEUR
M OU MME PATRICE OLIVEAU Greffe GREFFE BILLETS </t>
  </si>
  <si>
    <t>Remise billets greffe + buvette</t>
  </si>
  <si>
    <t>VIREMENT EN VOTRE FAVEUR M OU MME ALAIN ROUBAUD</t>
  </si>
  <si>
    <t>Remboursement Rendu Leclerc</t>
  </si>
  <si>
    <t>Ramette de papier (pris sur caisse buvette)</t>
  </si>
  <si>
    <t>Ruban adhésif</t>
  </si>
  <si>
    <t>Blasons : (76-36+103,5)</t>
  </si>
  <si>
    <t>Cadeaux arbitres (15,07€ / Arbitres)</t>
  </si>
  <si>
    <t>Greffe</t>
  </si>
  <si>
    <t>Repas arbitres + club(environ 30 repas)</t>
  </si>
  <si>
    <t>Buvette</t>
  </si>
  <si>
    <t>Virement Martine Grain</t>
  </si>
  <si>
    <t>Greffe (remplacement cheque non signé)</t>
  </si>
  <si>
    <t>TOTAL VENTE BUVETTE</t>
  </si>
  <si>
    <t>Buvette : jambon en plus (pris sur caisse)</t>
  </si>
  <si>
    <t>Buvelle : 40 baguettes (pris sur caisse)</t>
  </si>
  <si>
    <t>Carnet à souches</t>
  </si>
  <si>
    <t>TOTAL: Ch 2282856 partiel</t>
  </si>
  <si>
    <t>Cheque emis 2282856 de Pierre Partiel</t>
  </si>
  <si>
    <t>Double des clés</t>
  </si>
  <si>
    <t>Achats concours Pierre</t>
  </si>
  <si>
    <t>Achats carnet à souches</t>
  </si>
  <si>
    <t>Dépences
(hors buvette)</t>
  </si>
  <si>
    <t>Cheque emis 2282857</t>
  </si>
  <si>
    <t>Achats blasons concours Pierre</t>
  </si>
  <si>
    <t>Ch émis 1925061</t>
  </si>
  <si>
    <t>Engagement Chpt Rhone (3 jeunes + 7 adultes)</t>
  </si>
  <si>
    <t>Remise de cheques partielle 96112579</t>
  </si>
  <si>
    <t>Loc Arc janv Prinmaz</t>
  </si>
  <si>
    <t>Loc Arc janv Césari</t>
  </si>
  <si>
    <t>Entrée</t>
  </si>
  <si>
    <t>Licence</t>
  </si>
  <si>
    <t>Loc 1</t>
  </si>
  <si>
    <t>Loc 2</t>
  </si>
  <si>
    <t>Loc 3</t>
  </si>
  <si>
    <t>Virement pièces OLIVEAU caisse concours</t>
  </si>
  <si>
    <t>Caisse liquide concours pièces</t>
  </si>
  <si>
    <t>BILAN FINANCIER DU CONCOURS SELECTIF</t>
  </si>
  <si>
    <t>GREFFE</t>
  </si>
  <si>
    <t>Greffe: Grain martine; ch non signé =&gt; virement</t>
  </si>
  <si>
    <t>Récompences (médailles-coupes)</t>
  </si>
  <si>
    <t>Pot de clôture (x5)</t>
  </si>
  <si>
    <t>Achats flèches éliminatoires (3 + 2)</t>
  </si>
  <si>
    <t>TOTAL DETAIL</t>
  </si>
  <si>
    <t>TOTAL FINAL</t>
  </si>
  <si>
    <t>POTS DE CLOTURE</t>
  </si>
  <si>
    <t>RECOMPENCES</t>
  </si>
  <si>
    <t>TOTAL RECOMPENCES</t>
  </si>
  <si>
    <t>TOTAL ACHATS BUVETTE</t>
  </si>
  <si>
    <t>RESULTAT BUVETTE</t>
  </si>
  <si>
    <t>Crepes (40 + 60 + 80)</t>
  </si>
  <si>
    <t>Tri 60</t>
  </si>
  <si>
    <t>Achat 6/12/24</t>
  </si>
  <si>
    <t>Achat 7/1/25</t>
  </si>
  <si>
    <t>Stock Achat</t>
  </si>
  <si>
    <t>Blason 40 Avalon</t>
  </si>
  <si>
    <t>Blason 60 Avalon</t>
  </si>
  <si>
    <t>Blason 80 Avalon</t>
  </si>
  <si>
    <t>Blason 80 JVD</t>
  </si>
  <si>
    <t>Tri 40 CO Avalon</t>
  </si>
  <si>
    <t>Tri 40 CO  JVD</t>
  </si>
  <si>
    <t>Tri 40 CL Avalon</t>
  </si>
  <si>
    <t>Blason 40 JVD</t>
  </si>
  <si>
    <t>Blason 60  JVD</t>
  </si>
  <si>
    <t>Stock initial</t>
  </si>
  <si>
    <t>Tireurs poulies</t>
  </si>
  <si>
    <t>Tireurs Bl 80</t>
  </si>
  <si>
    <t>Tireurs Bl 60</t>
  </si>
  <si>
    <t>Tireurs TRI 60</t>
  </si>
  <si>
    <t>Coef</t>
  </si>
  <si>
    <t>Conso
estimée</t>
  </si>
  <si>
    <t>Stock inital estimé</t>
  </si>
  <si>
    <t>Tireurs CL Bl 40</t>
  </si>
  <si>
    <t>Tireurs CL Tri 40 (*)</t>
  </si>
  <si>
    <t>Cacahuettes (2 paquets non achetés)</t>
  </si>
  <si>
    <t>Clairette de Die non achetée</t>
  </si>
  <si>
    <t>Fact LA: fleche (516€) + mat. Conso (fil corde+ cire: 97,4€) + 
mat invest (5 brassards + 10 stabs: 242,5€)) + Pierre (14€</t>
  </si>
  <si>
    <t>Bouteille eau 50cl</t>
  </si>
  <si>
    <t>MAT. AUTRES</t>
  </si>
  <si>
    <t>Filet mignon : 1,1 kg</t>
  </si>
  <si>
    <t>Escalope de poulet : 2 kg</t>
  </si>
  <si>
    <t>Tagliatelles : 6 paquets de 350gr (3/4 pers)</t>
  </si>
  <si>
    <t>Autres ingrédients</t>
  </si>
  <si>
    <t>TOTAL:</t>
  </si>
  <si>
    <t>Patrice :Repas arbitres et club ( env 30 repas, pas de reste)</t>
  </si>
  <si>
    <t>560,50€ - 238,45€</t>
  </si>
  <si>
    <t>Don à Villefranche</t>
  </si>
  <si>
    <t>env 10</t>
  </si>
  <si>
    <t>Qté début</t>
  </si>
  <si>
    <t>CONS0 BUVETTE</t>
  </si>
  <si>
    <t>Oasis 24 x 33cl (*)</t>
  </si>
  <si>
    <t>Orangina 12 x 33 cl (*)</t>
  </si>
  <si>
    <t>Ice The Lipton Peche 10x33 (*)</t>
  </si>
  <si>
    <t>(*) Les Qté retournées ont été soustraitse des Qté de départ</t>
  </si>
  <si>
    <t>Jambon (24 + 12 tranches)</t>
  </si>
  <si>
    <t>Consommation de blasons estimée d'après les inscription le 10 janvier</t>
  </si>
  <si>
    <t>CONSOMMATION DE BLASONS</t>
  </si>
  <si>
    <t>Passage licence compet Prinmas</t>
  </si>
  <si>
    <t>Remise de cheques partielle 3166115 (28€)</t>
  </si>
  <si>
    <t>Loc arc Camille (2e Trim)</t>
  </si>
  <si>
    <t>Repas AG Ligue AURA ( Pierre + Patrice)</t>
  </si>
  <si>
    <t>Cheque emis 1925062</t>
  </si>
  <si>
    <t>Salaire Nicolas janvier</t>
  </si>
  <si>
    <t>CONSO POTS 
(hors fab. Maison :cakes, …)</t>
  </si>
  <si>
    <t>40 baguettes Auchan (**)</t>
  </si>
  <si>
    <t>(**) Y compris 4 à 5 baguettes repas</t>
  </si>
  <si>
    <t>CONSO REPAS (env 30)</t>
  </si>
  <si>
    <t>6 paq pâtes 350gr</t>
  </si>
  <si>
    <t>1,1kg</t>
  </si>
  <si>
    <t xml:space="preserve">Compote 72cl </t>
  </si>
  <si>
    <t xml:space="preserve">2kg </t>
  </si>
  <si>
    <t>Filet de poulet</t>
  </si>
  <si>
    <t>Filet mignon porc</t>
  </si>
  <si>
    <t>Remise de cheques 3166116</t>
  </si>
  <si>
    <t>loc arc 2eTrim Margaux</t>
  </si>
  <si>
    <t>Virement Peneveyre</t>
  </si>
  <si>
    <t>Cheque emis 1925063</t>
  </si>
  <si>
    <t>Engagt Margaux chpt reg. =&gt; AURA</t>
  </si>
  <si>
    <t>Badges FFTA</t>
  </si>
  <si>
    <t xml:space="preserve">PRELEVEMENT FFTA Information Prlv 20250210-0001 
0169190-01   FR59ZZZ407318    PRL 20250210-0001                  </t>
  </si>
  <si>
    <t>Prelevt FFTA, suppl licence Pinmaz</t>
  </si>
  <si>
    <t>URSSAF Dec</t>
  </si>
  <si>
    <t>PRELEVEMENT    URSSAF RHONE ALPES 
UR 827000002184626493    DEC 24124438683108170225 
069077CT120180906140613A000114305  
FR55ZZZ143065      TT408272502112008124438683108003914</t>
  </si>
  <si>
    <t>CHEQUE EMIS   2282861</t>
  </si>
  <si>
    <t>Cheque emis 1925065 Lyon Archerie</t>
  </si>
  <si>
    <t>Cheque emis 1925064</t>
  </si>
  <si>
    <t>Fact LA FC2500884 : Materiel : 771,87€; Patrice : 212,66€; Evelyne: 150,48€</t>
  </si>
  <si>
    <t>cheque emis 1925064</t>
  </si>
  <si>
    <t>Virement de P.Oliveau</t>
  </si>
  <si>
    <t>Part Patrice sur Fact LA FC2500884</t>
  </si>
  <si>
    <t>Remb kms Pierre Chpt reg Clermont</t>
  </si>
  <si>
    <t>Greffe RDJ Villefranche</t>
  </si>
  <si>
    <t xml:space="preserve">Cheque emis 1925068 </t>
  </si>
  <si>
    <t>Kms LA Patrice + 2 sacs Décatlon</t>
  </si>
  <si>
    <t>Fact LA FC2501113-  3 cheques cadeaux (60€)</t>
  </si>
  <si>
    <t>Virement de E. Bonnaire</t>
  </si>
  <si>
    <t>Part Evelyne sur Fact LA FC2500883</t>
  </si>
  <si>
    <t>Loc Arc Alex Mars</t>
  </si>
  <si>
    <t>remise de cheque 3166120</t>
  </si>
  <si>
    <t>Cheque émis 1925069</t>
  </si>
  <si>
    <t>Salaire Nicolas Février</t>
  </si>
  <si>
    <t>Virement Sarah Peneveyre:</t>
  </si>
  <si>
    <t>Cotisation + Loc arc Marie</t>
  </si>
  <si>
    <t>Cheque émis 1925070</t>
  </si>
  <si>
    <t>Participation au stage Pâques de Julie Lahure</t>
  </si>
  <si>
    <t>Oct</t>
  </si>
  <si>
    <t>nov</t>
  </si>
  <si>
    <t>Dec</t>
  </si>
  <si>
    <t>Jan</t>
  </si>
  <si>
    <t>Fev</t>
  </si>
  <si>
    <t>Mars</t>
  </si>
  <si>
    <t>Cotisation</t>
  </si>
  <si>
    <t>Loc Sept/dec</t>
  </si>
  <si>
    <t>loc Jan/mar</t>
  </si>
  <si>
    <t>Paiements</t>
  </si>
  <si>
    <t>Reste à ce jour</t>
  </si>
  <si>
    <t>Sommes dûes</t>
  </si>
  <si>
    <t>Totaux</t>
  </si>
  <si>
    <t>Malou.j698@gmail.com</t>
  </si>
  <si>
    <t>PRELEVEMENT    URSSAF RHONE ALPES UR 827000002184626493   
 JANV25125118683108170325  069077CT120180906140613A000114305  
FR55ZZZ143065                      TT408272503111953125118683108003920</t>
  </si>
  <si>
    <t>Virement de F. Lalère</t>
  </si>
  <si>
    <t>licence découverte de Franklin</t>
  </si>
  <si>
    <t>Virement du compte Dépôt</t>
  </si>
  <si>
    <t>CHEQUE EMIS     1689977</t>
  </si>
  <si>
    <t xml:space="preserve">VIREMENT EN VOTRE FAVEUR de MME PENEVEYRE SARAH </t>
  </si>
  <si>
    <t xml:space="preserve">VIREMENT EN VOTRE FAVEUR de M FAURE PASCAL </t>
  </si>
  <si>
    <t>Engagt RDJ Dardilly</t>
  </si>
  <si>
    <t>Solde loc arc de Marie</t>
  </si>
  <si>
    <t>Licence Pascal Faure</t>
  </si>
  <si>
    <t>Récompenses
badges-fleches
bons d'achat</t>
  </si>
  <si>
    <t>Cheque émis 1925072</t>
  </si>
  <si>
    <t>Cheque émis 1925073</t>
  </si>
  <si>
    <t>Cheque émis 1925071 à P. Oliveau</t>
  </si>
  <si>
    <t>Fond de caisse monaie RDJ</t>
  </si>
  <si>
    <t>Salaire Nicolas Mars</t>
  </si>
  <si>
    <t>Participation stage Noé de Margaux</t>
  </si>
  <si>
    <t>location arc Maelys</t>
  </si>
  <si>
    <t xml:space="preserve">VIREMENT EN VOTRE FAVEUR Maelys Jeanselme </t>
  </si>
  <si>
    <t>VIREMENT EN VOTRE FAVEUR M MASSON SEBASTIEN</t>
  </si>
  <si>
    <t xml:space="preserve">Locations Elodie et Sebastien </t>
  </si>
  <si>
    <t xml:space="preserve">VIREMENT EN VOTRE FAVEUR M DAMIEN RABUT </t>
  </si>
  <si>
    <t>Location Arc Damien</t>
  </si>
  <si>
    <t xml:space="preserve">VIREMENT EN VOTRE FAVEUR MME FAURE MARIE  MARIE LAURE 
</t>
  </si>
  <si>
    <t>licence Marie Laure Faure</t>
  </si>
  <si>
    <t>Cheque émis 1925074</t>
  </si>
  <si>
    <t>Tente Décathlon (ch à Bruno Piedanna)</t>
  </si>
  <si>
    <t>Cheque émis 1925075</t>
  </si>
  <si>
    <t>RDJ: Ch à A. Roubaud (fact 0250002827:136,94 + fact 0250002826: 8,35)</t>
  </si>
  <si>
    <t>Concours 
RDJ
Recettes</t>
  </si>
  <si>
    <t>Virement de Audrey Van Eenoo</t>
  </si>
  <si>
    <t>Virement de Claude Vanderschooten</t>
  </si>
  <si>
    <t>Greffe : billet de 20€ (8)</t>
  </si>
  <si>
    <t>Greffe : billet de 5€ (25)</t>
  </si>
  <si>
    <t>Greffe:Pieces de 1€ (24)</t>
  </si>
  <si>
    <t>Greffe: Pieces de 0,50 (18)</t>
  </si>
  <si>
    <t>Greffe: Pieces de 0,20 (11)</t>
  </si>
  <si>
    <t>Greffe: Pieces de 0,10 (8)</t>
  </si>
  <si>
    <t xml:space="preserve">Greffe: Pieces de 2€ rouleau (2 x 25€) </t>
  </si>
  <si>
    <t>Greffe: Pieces de 1€ rouleau (1 x 25€)</t>
  </si>
  <si>
    <t xml:space="preserve">Greffe : remise de cheques : </t>
  </si>
  <si>
    <t>BUVETTE</t>
  </si>
  <si>
    <t>Greffe : billet de 10€ (15)</t>
  </si>
  <si>
    <t>Greffe:Pieces de 2€ (22)</t>
  </si>
  <si>
    <t>Pieces de 2€</t>
  </si>
  <si>
    <t>Pieces de 1€</t>
  </si>
  <si>
    <t>Pieces de 0,50€</t>
  </si>
  <si>
    <t>Pieces de 0,20€</t>
  </si>
  <si>
    <t>Pieces de 0,10€</t>
  </si>
  <si>
    <t>Pieces de 0,05€</t>
  </si>
  <si>
    <t>QTÉ DÉBUT</t>
  </si>
  <si>
    <t>CONSO</t>
  </si>
  <si>
    <t>RESTE</t>
  </si>
  <si>
    <t>Café </t>
  </si>
  <si>
    <t>2 paquets (stock)</t>
  </si>
  <si>
    <t>0,9 ouvert</t>
  </si>
  <si>
    <t>Filtres à café</t>
  </si>
  <si>
    <t>Thé</t>
  </si>
  <si>
    <t>Une quinzaine de sachets (stock)</t>
  </si>
  <si>
    <t>3 (à confirmer)</t>
  </si>
  <si>
    <t>Une dizaine</t>
  </si>
  <si>
    <t>Coca : buvette</t>
  </si>
  <si>
    <t>24 cannettes (achat)</t>
  </si>
  <si>
    <t>8 (DLC : ?)</t>
  </si>
  <si>
    <t>Coca : pots</t>
  </si>
  <si>
    <t>Buvette : eau 50 cL</t>
  </si>
  <si>
    <t>Ice tea : buvette</t>
  </si>
  <si>
    <t>11 canettes (stock)</t>
  </si>
  <si>
    <t>4 (DLC : ?)</t>
  </si>
  <si>
    <t>Orangina : buvette</t>
  </si>
  <si>
    <t>9 canettes (stock)</t>
  </si>
  <si>
    <t>7 (DLC : 24/8/25)</t>
  </si>
  <si>
    <t xml:space="preserve">Oasis : buvette </t>
  </si>
  <si>
    <t>4 (DLC : 27/4/25)</t>
  </si>
  <si>
    <t>Oasis : pots</t>
  </si>
  <si>
    <t>1x1,5L (achat)</t>
  </si>
  <si>
    <t>Saucisses</t>
  </si>
  <si>
    <t>40 saucisses (achat)</t>
  </si>
  <si>
    <t>Jambon</t>
  </si>
  <si>
    <t>Baguettes</t>
  </si>
  <si>
    <t>15 (achat)</t>
  </si>
  <si>
    <t>1x460gr (stock)</t>
  </si>
  <si>
    <t>environ 230 gr</t>
  </si>
  <si>
    <t>Ketchup</t>
  </si>
  <si>
    <t>1x430 gr (achat)</t>
  </si>
  <si>
    <t>environ 330 gr</t>
  </si>
  <si>
    <t>environ 100 gr</t>
  </si>
  <si>
    <t>Mayo</t>
  </si>
  <si>
    <t>1x425 gr (achat)</t>
  </si>
  <si>
    <t>environ 210 gr</t>
  </si>
  <si>
    <t>Beurre</t>
  </si>
  <si>
    <t>1x250gr (achat)</t>
  </si>
  <si>
    <t>125 gr environ</t>
  </si>
  <si>
    <t>Crêpes</t>
  </si>
  <si>
    <t>Confiture</t>
  </si>
  <si>
    <t>Confitures faites maison</t>
  </si>
  <si>
    <t>Nutella</t>
  </si>
  <si>
    <t>1 pot de 1kg (achat)</t>
  </si>
  <si>
    <t>Citron</t>
  </si>
  <si>
    <t>Miel</t>
  </si>
  <si>
    <t>Cidre brut (pots)</t>
  </si>
  <si>
    <t>3 bouteilles (achat)</t>
  </si>
  <si>
    <t>Chips (pots)</t>
  </si>
  <si>
    <t>4 (stock)</t>
  </si>
  <si>
    <t>0,75 paquet</t>
  </si>
  <si>
    <t>3 paquets</t>
  </si>
  <si>
    <t>Cacahuètes (pots)</t>
  </si>
  <si>
    <t>0,5 paquet de 390gr</t>
  </si>
  <si>
    <t>1x590gr</t>
  </si>
  <si>
    <t>Pâté croûte (pots)</t>
  </si>
  <si>
    <t>2 (achat)</t>
  </si>
  <si>
    <t>Taboulé : 1x1kg (achat)</t>
  </si>
  <si>
    <t>environ 500 gr</t>
  </si>
  <si>
    <t>Compote : 1x750gr (achat)</t>
  </si>
  <si>
    <t>environ 350gr</t>
  </si>
  <si>
    <t>(hot-dog et sandwich à la buvette)</t>
  </si>
  <si>
    <t>/</t>
  </si>
  <si>
    <t>Vaisselle : bûchettes sucre</t>
  </si>
  <si>
    <t>Stock</t>
  </si>
  <si>
    <t>Vaisselle : gobelets 10cL</t>
  </si>
  <si>
    <t>Vaisselle : gobelets 20cL</t>
  </si>
  <si>
    <t>Vaisselle : touillettes</t>
  </si>
  <si>
    <t>beaucoup</t>
  </si>
  <si>
    <t>Vaisselle : petites assiettes</t>
  </si>
  <si>
    <t>Vaisselle : grandes assiettes</t>
  </si>
  <si>
    <t>Vaisselle : bols</t>
  </si>
  <si>
    <t>Ramettes de papier</t>
  </si>
  <si>
    <t>1x1,75 L (achat) + 2x1,75L (stock)</t>
  </si>
  <si>
    <t>1 pack de 12 bouteilles de 50cL (achat)</t>
  </si>
  <si>
    <t>Début</t>
  </si>
  <si>
    <t>11-5 = 6 ???</t>
  </si>
  <si>
    <t>1 petite bouteille 20cl  (achat)</t>
  </si>
  <si>
    <t>1 pschitt-pschitt 340gr (achat)</t>
  </si>
  <si>
    <t>pas de conso?</t>
  </si>
  <si>
    <t>1x590gr (achat) + stock (2 paquets)</t>
  </si>
  <si>
    <t>BUVETTE RDJ 2025</t>
  </si>
  <si>
    <t>POT RDJ 2025</t>
  </si>
  <si>
    <t>REPAS ARBITRES + CLUB RDJ 2025</t>
  </si>
  <si>
    <t>buvette : billet de 50€ (2)</t>
  </si>
  <si>
    <t>buvette : billet de 20€ (5)</t>
  </si>
  <si>
    <t>buvette : billet de 10€ (9)</t>
  </si>
  <si>
    <t>buvette : billet de 5€ (13)</t>
  </si>
  <si>
    <t>buvette:Pieces de 2€ (39)</t>
  </si>
  <si>
    <t>buvette:Pieces de 1€ (21)</t>
  </si>
  <si>
    <t>buvette: Pieces de 0,50 (43)</t>
  </si>
  <si>
    <t>buvette: Pieces de 0,20 (16)</t>
  </si>
  <si>
    <t>buvette: Pieces de 0,10 (7)</t>
  </si>
  <si>
    <t>buvette: Pieces de 0,05 (2)</t>
  </si>
  <si>
    <t xml:space="preserve">buvette: Pieces de0,5 € rouleau (20€) </t>
  </si>
  <si>
    <t>buvette: Fond de caisse</t>
  </si>
  <si>
    <t>buvette: Achats Alain</t>
  </si>
  <si>
    <t xml:space="preserve">Buvette :            </t>
  </si>
  <si>
    <t>Repas arbitre + club :</t>
  </si>
  <si>
    <t xml:space="preserve">Pôt :                           </t>
  </si>
  <si>
    <t xml:space="preserve">Cadeaux arbitres :       </t>
  </si>
  <si>
    <t xml:space="preserve">Cadeaux archers :  </t>
  </si>
  <si>
    <t xml:space="preserve">Total: </t>
  </si>
  <si>
    <t>Achats Alain Leclerc - fact 0250002827</t>
  </si>
  <si>
    <t>Repas arbitres + club (sandw ds buvette)</t>
  </si>
  <si>
    <t>Pot de clôture (x2)</t>
  </si>
  <si>
    <t xml:space="preserve">Cadeaux arbitres </t>
  </si>
  <si>
    <t>Cadeaux archers (pt/fl pdt le concours)</t>
  </si>
  <si>
    <t>Récompenses (médailles)</t>
  </si>
  <si>
    <t>buvette : Achat pain Mélanie</t>
  </si>
  <si>
    <t>A priori reste 0 ?</t>
  </si>
  <si>
    <t>16 tranches (achat) (2 x 8)</t>
  </si>
  <si>
    <t xml:space="preserve">37 + 5 = 42 
14 x 3 = 42
le compte est bon </t>
  </si>
  <si>
    <t>tu n'as pas compté !!!!!</t>
  </si>
  <si>
    <t>billet 50€</t>
  </si>
  <si>
    <t>billet 20€</t>
  </si>
  <si>
    <t>billet 10€</t>
  </si>
  <si>
    <t>billet 5€</t>
  </si>
  <si>
    <t>Cheque émis</t>
  </si>
  <si>
    <t>RDJ: Ch Mélanie (Pain)</t>
  </si>
  <si>
    <t xml:space="preserve"> REMISE DE CHEQUES</t>
  </si>
  <si>
    <t>Greffe RDJ</t>
  </si>
  <si>
    <t>Achat flèches Alexandre (20) + Location arc Simone (30)</t>
  </si>
  <si>
    <t>Cheque émis 1951322</t>
  </si>
  <si>
    <t>Achat Médailles par Pierre</t>
  </si>
  <si>
    <t>Cheque émis 1951321</t>
  </si>
  <si>
    <t>Ferrero, flèches éliminatoires</t>
  </si>
  <si>
    <t>Buvette: Gobelet, serv,assiettes,..)</t>
  </si>
  <si>
    <t>Sucre en poudre</t>
  </si>
  <si>
    <t xml:space="preserve">Tenue de compte professionnel </t>
  </si>
  <si>
    <t xml:space="preserve">PRELEVEMENT      CA       </t>
  </si>
  <si>
    <t xml:space="preserve">PRELEVEMENT             FFTA        
FR59ZZZ407318                      PRL 20250404-0001                  </t>
  </si>
  <si>
    <t>FFTA licence Pascal et Franklin</t>
  </si>
  <si>
    <t xml:space="preserve">VIREMENT  M ROMAIN BARRAL </t>
  </si>
  <si>
    <t>PRELEVEMENT    URSSAF RHONE ALPES UR 827000002184626493    
FEV 25</t>
  </si>
  <si>
    <t>Cannette Coca</t>
  </si>
  <si>
    <t>Cannette Oasis</t>
  </si>
  <si>
    <t>Cannette Ice tee</t>
  </si>
  <si>
    <t>Cannette Orangina</t>
  </si>
  <si>
    <t>Gain</t>
  </si>
  <si>
    <t>Eau</t>
  </si>
  <si>
    <t>Hot dog</t>
  </si>
  <si>
    <t>Sandwish</t>
  </si>
  <si>
    <t xml:space="preserve">PRELEVEMENT   a  L' Boutique FFTA </t>
  </si>
  <si>
    <t xml:space="preserve">REMISE DE CHEQUE        2282919 </t>
  </si>
  <si>
    <t xml:space="preserve">REMISE DE CHEQUE        9612580 </t>
  </si>
  <si>
    <t xml:space="preserve">VIREMENT  location Arc M.       PRINMAZ </t>
  </si>
  <si>
    <t xml:space="preserve">VIREMENT M D'ADAMO FRANCK OU MME QUERVILL </t>
  </si>
  <si>
    <t>location arc 3e trimestre Margaux</t>
  </si>
  <si>
    <t>location arc 3e trimestre Arnaud</t>
  </si>
  <si>
    <t xml:space="preserve">CHEQUE EMIS             2282858 </t>
  </si>
  <si>
    <t xml:space="preserve">CHEQUE EMIS             2282859 </t>
  </si>
  <si>
    <t xml:space="preserve">CHEQUE EMIS             2282860 </t>
  </si>
  <si>
    <t>Engagement équipe TAE</t>
  </si>
  <si>
    <t>Equipe TAE</t>
  </si>
  <si>
    <t>Remb  Frais Déplacement
hors eq. TAE</t>
  </si>
  <si>
    <t>Engagt 
Concours
hors eq. TAE</t>
  </si>
  <si>
    <t>Virement P.Oliveau</t>
  </si>
  <si>
    <t>RDJ Dépence de Pierre</t>
  </si>
  <si>
    <t>cheque émis 1925077</t>
  </si>
  <si>
    <t>Matériel Lyon archerie</t>
  </si>
  <si>
    <t>Equipes TAE</t>
  </si>
  <si>
    <t>Badges / Flèche/Bon d'achat</t>
  </si>
  <si>
    <t>Buvette (recette - achats)</t>
  </si>
  <si>
    <t>BILAN FINANCIER DE LA RONDE DES JEUNES</t>
  </si>
  <si>
    <t>location arc 3e trimestre Romain</t>
  </si>
  <si>
    <t>location arc 3e trimestre Claude</t>
  </si>
  <si>
    <t>location arc 3e trimestre Audrey</t>
  </si>
  <si>
    <t>Cheque emis 1925978</t>
  </si>
  <si>
    <t>2 sac Tyro Universal Archerie</t>
  </si>
  <si>
    <t>Km</t>
  </si>
  <si>
    <t>Coût/km</t>
  </si>
  <si>
    <t>Coût</t>
  </si>
  <si>
    <t>Peage</t>
  </si>
  <si>
    <t>Lissieu / Clermond</t>
  </si>
  <si>
    <t>autre</t>
  </si>
  <si>
    <t>Lissieu /Bourg</t>
  </si>
  <si>
    <t xml:space="preserve">autre </t>
  </si>
  <si>
    <t>St pourcain sur sioule</t>
  </si>
  <si>
    <t>3 autres</t>
  </si>
  <si>
    <t>Lezoux</t>
  </si>
  <si>
    <t>Deplacement DR</t>
  </si>
  <si>
    <t>fev</t>
  </si>
  <si>
    <t>L.A.</t>
  </si>
  <si>
    <t>avr</t>
  </si>
  <si>
    <t>L.A. (x2)</t>
  </si>
  <si>
    <t>Cheque emis 1925079</t>
  </si>
  <si>
    <t>Deplact L.A le 18/04/25 ( 8,72€) + Boules PPS (convilvialité) (3,8€)</t>
  </si>
  <si>
    <t>FRAIS de DEPLACEMENT ( hors Eq.)</t>
  </si>
  <si>
    <t>Engagements Concours payés par le Club</t>
  </si>
  <si>
    <t>Sélectif Lissieu</t>
  </si>
  <si>
    <t>Ronde des Jeunes</t>
  </si>
  <si>
    <t>3 Premiers concours débutants</t>
  </si>
  <si>
    <t>Championnat Départemental</t>
  </si>
  <si>
    <t>Championnat Régional</t>
  </si>
  <si>
    <t>Championnat de France</t>
  </si>
  <si>
    <t xml:space="preserve">Remboursement Frais de Stage </t>
  </si>
  <si>
    <t>Formation entraineur / dirigeant, …</t>
  </si>
  <si>
    <t xml:space="preserve">Réunion CD </t>
  </si>
  <si>
    <t>Réunion Comité AURA</t>
  </si>
  <si>
    <t>Réunion arbitres</t>
  </si>
  <si>
    <t>Championnat de Ligue</t>
  </si>
  <si>
    <t>Besoins club : (ex: Lyon archerie) ?</t>
  </si>
  <si>
    <t>Equipes TAE ?</t>
  </si>
  <si>
    <t>Récompenses</t>
  </si>
  <si>
    <t>Plumes, Flèches, Badges : Gratuit</t>
  </si>
  <si>
    <t>Podium championnat du Rhône : Bon d'achat de 20€</t>
  </si>
  <si>
    <t>Podium championnat de Ligue: Bon d'achat de 30€</t>
  </si>
  <si>
    <t>Matériel</t>
  </si>
  <si>
    <t xml:space="preserve">Prêt arc débutant + Carquois, palette, brassard </t>
  </si>
  <si>
    <t>Gratuit</t>
  </si>
  <si>
    <t xml:space="preserve">Prêt arc initiation + Carquois, palette, brassard </t>
  </si>
  <si>
    <t>20€ / T</t>
  </si>
  <si>
    <t xml:space="preserve">Prêt arc progression + Carquois, palette, brassard </t>
  </si>
  <si>
    <t>30€ / T</t>
  </si>
  <si>
    <t>Remboursement Déplacement: 0,2€ / km à partir de Lissieu</t>
  </si>
  <si>
    <t>Participation15% / Stage pour un max de 80€ dans l'année</t>
  </si>
  <si>
    <t>Réserve</t>
  </si>
  <si>
    <t>Cheque émis 1689978</t>
  </si>
  <si>
    <t>Salaire Nicolas Avril</t>
  </si>
  <si>
    <t xml:space="preserve">Nicolas </t>
  </si>
  <si>
    <t>Clermont</t>
  </si>
  <si>
    <t>Cheque émis 1689979</t>
  </si>
  <si>
    <t>Remb. Deplacement Nicolas à la DRE J de Clermont</t>
  </si>
  <si>
    <t>Cheque émis 1689980</t>
  </si>
  <si>
    <t>Remb à P.Oliveau, consommation DRE J Clermont</t>
  </si>
  <si>
    <t>Virement Queney</t>
  </si>
  <si>
    <t>Loc arc Guillaume et Alex</t>
  </si>
  <si>
    <t>Virement</t>
  </si>
  <si>
    <t>Subvention Mairie</t>
  </si>
  <si>
    <t>Report année précédente</t>
  </si>
  <si>
    <t>Versements sur Livret</t>
  </si>
  <si>
    <t>Crepes (x86)</t>
  </si>
  <si>
    <t>Moyenne</t>
  </si>
  <si>
    <t>Gain par vente à la buvette</t>
  </si>
  <si>
    <t>=284,5 - 102,34</t>
  </si>
  <si>
    <t>Solde prévisionnel compte courant en début d'année</t>
  </si>
  <si>
    <t>Solde prévisonnel compte courant en fin d'année 2026</t>
  </si>
  <si>
    <t>Solde prévisonnel livret en fin d'année 2027</t>
  </si>
  <si>
    <t>Compte courant + Livret en fin 2026</t>
  </si>
  <si>
    <t>Verst du livret vers le compte courant</t>
  </si>
  <si>
    <t xml:space="preserve">VIREMENT  de MR MICHEL PHILIPPE Location arc </t>
  </si>
  <si>
    <t>Location arc</t>
  </si>
  <si>
    <t xml:space="preserve">REMISE DE CHEQUE        2282920 </t>
  </si>
  <si>
    <t>Location arc Christophe CESARI</t>
  </si>
  <si>
    <t>Cheque émis 1689981</t>
  </si>
  <si>
    <t>Fact UA FA0004141 du 7/5/25 : blason field</t>
  </si>
  <si>
    <t xml:space="preserve">CHEQUE EMIS             1951323 </t>
  </si>
  <si>
    <t>Frais repas Equipe challenge St Pourcain sur Sioule</t>
  </si>
  <si>
    <t xml:space="preserve">VIREMENT EN VOTRE FAVEUR   M BOSIO </t>
  </si>
  <si>
    <t xml:space="preserve"> location arc 3 trimestre Francesco</t>
  </si>
  <si>
    <t>PRELEVEMENT  URSSAF RHONE ALPES UR 827000002184626493    MARS25125138683108150525 
069077CT120180906140613A000114305  FR55ZZZ143065                      
TT408272505092009125138683108003906</t>
  </si>
  <si>
    <t xml:space="preserve">VIREMENT  LAHURE  </t>
  </si>
  <si>
    <t xml:space="preserve">Location arc Julie Lahure </t>
  </si>
  <si>
    <t xml:space="preserve">PRELEVEMENT  FFTA Information Prlv 20250515-0001 
0169190-01   FR59ZZZ407318    PRL 20250515-0001                  </t>
  </si>
  <si>
    <t xml:space="preserve">INTERETS CREDITEURS     PS CACE ST DIDIER OR </t>
  </si>
  <si>
    <t>???</t>
  </si>
  <si>
    <t xml:space="preserve">CHEQUE EMIS  1951327 </t>
  </si>
  <si>
    <t>Repas et Buvette Equipes Challenge à Lezoux</t>
  </si>
  <si>
    <t xml:space="preserve">CHEQUE EMIS       1951325 </t>
  </si>
  <si>
    <t>Cheque émis 1689982</t>
  </si>
  <si>
    <t>Salaire Nicolas Mai</t>
  </si>
  <si>
    <t>Cheque émis 1689987</t>
  </si>
  <si>
    <t>Remboursement chpt Rhône Maëlys</t>
  </si>
  <si>
    <t>Cheque émis 1689986</t>
  </si>
  <si>
    <t>Remboursement chpt Rhône Amandine Grange</t>
  </si>
  <si>
    <t>Cheque émis 1689985</t>
  </si>
  <si>
    <t>Remboursement chpt Rhône Eric Coquant</t>
  </si>
  <si>
    <t>Cheque émis 1689984</t>
  </si>
  <si>
    <t>Remboursement chpt Rhône Axel</t>
  </si>
  <si>
    <t>Cheque émis 1689983</t>
  </si>
  <si>
    <t>Remboursement chpt Rhône Mélanie</t>
  </si>
  <si>
    <t>Engegement RDJ (( x 6€)</t>
  </si>
  <si>
    <t>Cheque émis 1689988</t>
  </si>
  <si>
    <t>Repas Equite Challenge finale St Priest (5 x 6€)</t>
  </si>
  <si>
    <t xml:space="preserve">CHEQUE EMIS       1951329 </t>
  </si>
  <si>
    <t>PRELEVEMENT   URSSAF RHONE ALPES UR 827000002184626493    
AVR 25125218683108160625   069077CT120180906140613A000114305  
FR55ZZZ143065         TT408272506102034125218683108003739</t>
  </si>
  <si>
    <t>Repas DREJ Bourg</t>
  </si>
  <si>
    <t>cheque emis 1689989</t>
  </si>
  <si>
    <t>Remb Déplacement Nicolas à Bourg</t>
  </si>
  <si>
    <t>VIREMENT EN VOTRE FAVEUR
STRIPE BOUTIQUE-DXRGFCRW2DPESAHF BOUTIQUE FFTA 
BOUTIQUE-DXRGFCRW2DPESAHF2IBGICWCMG</t>
  </si>
  <si>
    <t>Remb médailles par FFTA</t>
  </si>
  <si>
    <t>Achats badges - fact n° 2025-000427-04</t>
  </si>
  <si>
    <t>cheque emis 1689990</t>
  </si>
  <si>
    <t>Salaire Nicolas Juin</t>
  </si>
  <si>
    <t>cheque emis 1689991</t>
  </si>
  <si>
    <t>Remb frais km Nolwenn pour Chatillon/Chalaronne</t>
  </si>
  <si>
    <t>cheque emis 1689992</t>
  </si>
  <si>
    <t>Engagement Chpt Reg TAE DI et TAE DN</t>
  </si>
  <si>
    <t>Prélèvement</t>
  </si>
  <si>
    <t>Tenue de compte professionnel</t>
  </si>
  <si>
    <t>PRELEVEMENT    URSSAF RHONE ALPES UR 827000002184626493    MAI 25125228683108150725 
069077CT120180906140613A000114305  FR55ZZZ143065                      
TT408272507081951125228683108003843</t>
  </si>
  <si>
    <t>URSSAF  Mai</t>
  </si>
  <si>
    <t>cheque émis 1689993</t>
  </si>
  <si>
    <t>Salaire Nicolas Juillet</t>
  </si>
  <si>
    <t>carnet de timbres</t>
  </si>
  <si>
    <t>cheque émis 1689994</t>
  </si>
  <si>
    <t>cheque émis 1951328</t>
  </si>
  <si>
    <t>URSSAF Juin</t>
  </si>
  <si>
    <t>PRELT   URSSAF RHONE ALPES UR 827000002184626493    JUIN25125238683108180825 
069077CT120180906140613A000114305    FR55ZZZ143065                      
TT408272508111941125238683108003821</t>
  </si>
  <si>
    <t>Engagement finale RDJ</t>
  </si>
  <si>
    <t>Equipes TAE (Engagt + Repas + Coach)</t>
  </si>
  <si>
    <t>Téléchargement du 28/08/2025</t>
  </si>
  <si>
    <t>Compte courant n° 04137963430</t>
  </si>
  <si>
    <t>Solde au 28/08/2025</t>
  </si>
  <si>
    <t xml:space="preserve"> 2 205,95 €</t>
  </si>
  <si>
    <t>Liste des opérations du compte entre le 01/08/2025 et le 27/08/2025</t>
  </si>
  <si>
    <t xml:space="preserve">CHEQUE EMIS             
1689982 </t>
  </si>
  <si>
    <t xml:space="preserve">CHEQUE EMIS             
1689993 </t>
  </si>
  <si>
    <t>PRELEVEMENT             
URSSAF RHONE ALPES UR 827000002184626493    JUIN25125238683108180825 
069077CT120180906140613A000114305  
FR55ZZZ143065                      
TT408272508111941125238683108003821</t>
  </si>
  <si>
    <t xml:space="preserve">CHEQUE EMIS             
1925073 </t>
  </si>
  <si>
    <t xml:space="preserve">CHEQUE EMIS             
1689992 </t>
  </si>
  <si>
    <t xml:space="preserve"> 9 114,74 €</t>
  </si>
  <si>
    <t>Liste des opérations du compte entre le 01/08/2024 et le 27/08/2025</t>
  </si>
  <si>
    <t xml:space="preserve">VIREMENT EMIS           
WEB LISS'ARC </t>
  </si>
  <si>
    <t xml:space="preserve">VIREMENT EN VOTRE FAVEUR
virement sur comptes livret LISS virement sur compte livret 
virement sur comptes livret        </t>
  </si>
  <si>
    <t>Solde le 1 / 08:2024</t>
  </si>
  <si>
    <t>ADMINISTRATION + ASSURANCE</t>
  </si>
  <si>
    <t>MAT. SPORTIF Consommable + Flèches</t>
  </si>
  <si>
    <t>Solde Compte courant fin de saison</t>
  </si>
  <si>
    <t>Solde Fin 2023-24</t>
  </si>
  <si>
    <t>Solde Livret fin de saison</t>
  </si>
  <si>
    <t>Resultat : Recette - dépences (Selec: 1157,09 - RDJ: 528,51)</t>
  </si>
  <si>
    <t>Reste Urssaf juillet</t>
  </si>
  <si>
    <t>Engagt CONCOUR (hors TAE Equipe)</t>
  </si>
  <si>
    <t>Soit environ 260€ par équipe</t>
  </si>
  <si>
    <t>Tente (96€), double des clés (47€), Clé pour paillon(23,39€)</t>
  </si>
  <si>
    <t>Cartouche encre (99€) ; Conso imprimante (118,38€), Assur (35,82€)</t>
  </si>
  <si>
    <t>maintenant: 3 arcs Initiat, 14 arcs Progress, 4 arcs Compet</t>
  </si>
  <si>
    <t>RECETTES 25-26</t>
  </si>
  <si>
    <t>DEPENSES 25-26</t>
  </si>
  <si>
    <t>Nous devons acheter les récompences</t>
  </si>
  <si>
    <t>env 250€ de bon d'achat à venir TAE + Beursault</t>
  </si>
  <si>
    <t>moins d'invest cet année.</t>
  </si>
  <si>
    <r>
      <t xml:space="preserve">Débutants + Chpt Rhône et Reg :
</t>
    </r>
    <r>
      <rPr>
        <sz val="11"/>
        <color rgb="FFFF0000"/>
        <rFont val="Calibri"/>
        <family val="2"/>
        <scheme val="minor"/>
      </rPr>
      <t>N'ont pas été remboursé les engagt: Beursault Anse et Montmerle</t>
    </r>
  </si>
  <si>
    <t>Les  bons d'achats podiums beursault seront sur 2026 (env 250€)</t>
  </si>
  <si>
    <r>
      <t xml:space="preserve">Paiement archers- FFTA ( </t>
    </r>
    <r>
      <rPr>
        <sz val="11"/>
        <color rgb="FFFF0000"/>
        <rFont val="Calibri"/>
        <family val="2"/>
        <scheme val="minor"/>
      </rPr>
      <t>reste prelt FFTA lic marie Laure</t>
    </r>
    <r>
      <rPr>
        <sz val="11"/>
        <color theme="1"/>
        <rFont val="Calibri"/>
        <family val="2"/>
        <scheme val="minor"/>
      </rPr>
      <t>)</t>
    </r>
  </si>
  <si>
    <t>1 form Patrice + 2 stages Noé</t>
  </si>
  <si>
    <t>la part Club</t>
  </si>
  <si>
    <t>Nous avons à rembourser env 250€ pour les Beursault de Sept</t>
  </si>
  <si>
    <t>4 à 5 équipes (2 jeunes + 1 Challenge +  1 DRH + 1 DRE Poulie)</t>
  </si>
  <si>
    <t>PROPOSITIONS BUDGET 2025-26</t>
  </si>
  <si>
    <t>5000€ :Invest potentiels: Container, Abri, cibles suppl, pas de tir, paillons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</si>
</sst>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#,##0.00\ &quot;€&quot;"/>
    <numFmt numFmtId="165" formatCode="0.0"/>
  </numFmts>
  <fonts count="6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u/>
      <sz val="10"/>
      <color theme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sz val="18"/>
      <color rgb="FF00B050"/>
      <name val="Wingdings"/>
      <charset val="2"/>
    </font>
    <font>
      <b/>
      <sz val="8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mbria"/>
      <family val="2"/>
      <scheme val="major"/>
    </font>
    <font>
      <sz val="12"/>
      <color theme="1"/>
      <name val="Cambria"/>
      <family val="2"/>
      <scheme val="major"/>
    </font>
    <font>
      <sz val="12"/>
      <name val="Cambria"/>
      <family val="2"/>
      <scheme val="major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B0522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sz val="12"/>
      <color rgb="FF000000"/>
      <name val="Aptos"/>
      <family val="2"/>
    </font>
    <font>
      <sz val="10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B0522"/>
      </left>
      <right/>
      <top style="medium">
        <color rgb="FFFB0522"/>
      </top>
      <bottom style="thin">
        <color indexed="64"/>
      </bottom>
      <diagonal/>
    </border>
    <border>
      <left/>
      <right/>
      <top style="medium">
        <color rgb="FFFB0522"/>
      </top>
      <bottom style="thin">
        <color indexed="64"/>
      </bottom>
      <diagonal/>
    </border>
    <border>
      <left/>
      <right style="medium">
        <color rgb="FFFB0522"/>
      </right>
      <top style="medium">
        <color rgb="FFFB0522"/>
      </top>
      <bottom/>
      <diagonal/>
    </border>
    <border>
      <left style="medium">
        <color rgb="FFFB05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B0522"/>
      </right>
      <top style="thin">
        <color indexed="64"/>
      </top>
      <bottom/>
      <diagonal/>
    </border>
    <border>
      <left style="thin">
        <color indexed="64"/>
      </left>
      <right style="medium">
        <color rgb="FFFB0522"/>
      </right>
      <top/>
      <bottom/>
      <diagonal/>
    </border>
    <border>
      <left style="thin">
        <color indexed="64"/>
      </left>
      <right style="medium">
        <color rgb="FFFB0522"/>
      </right>
      <top/>
      <bottom style="thin">
        <color indexed="64"/>
      </bottom>
      <diagonal/>
    </border>
    <border>
      <left style="medium">
        <color rgb="FFFB0522"/>
      </left>
      <right/>
      <top/>
      <bottom style="medium">
        <color rgb="FFFB0522"/>
      </bottom>
      <diagonal/>
    </border>
    <border>
      <left/>
      <right/>
      <top/>
      <bottom style="medium">
        <color rgb="FFFB0522"/>
      </bottom>
      <diagonal/>
    </border>
    <border>
      <left/>
      <right style="medium">
        <color rgb="FFFB0522"/>
      </right>
      <top/>
      <bottom style="medium">
        <color rgb="FFFB0522"/>
      </bottom>
      <diagonal/>
    </border>
    <border>
      <left style="thin">
        <color indexed="64"/>
      </left>
      <right style="medium">
        <color rgb="FFFB0522"/>
      </right>
      <top style="thin">
        <color indexed="64"/>
      </top>
      <bottom style="thin">
        <color indexed="64"/>
      </bottom>
      <diagonal/>
    </border>
    <border>
      <left style="medium">
        <color rgb="FFFB0522"/>
      </left>
      <right style="thin">
        <color indexed="64"/>
      </right>
      <top style="thin">
        <color indexed="64"/>
      </top>
      <bottom style="medium">
        <color rgb="FFFB05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B0522"/>
      </bottom>
      <diagonal/>
    </border>
    <border>
      <left style="thin">
        <color indexed="64"/>
      </left>
      <right style="medium">
        <color rgb="FFFB0522"/>
      </right>
      <top style="thin">
        <color indexed="64"/>
      </top>
      <bottom style="medium">
        <color rgb="FFFB0522"/>
      </bottom>
      <diagonal/>
    </border>
    <border>
      <left/>
      <right style="medium">
        <color rgb="FFFB0522"/>
      </right>
      <top style="medium">
        <color rgb="FFFB0522"/>
      </top>
      <bottom style="thin">
        <color indexed="64"/>
      </bottom>
      <diagonal/>
    </border>
    <border>
      <left style="thick">
        <color rgb="FF0000FF"/>
      </left>
      <right/>
      <top style="thick">
        <color rgb="FF0000FF"/>
      </top>
      <bottom style="thin">
        <color indexed="64"/>
      </bottom>
      <diagonal/>
    </border>
    <border>
      <left/>
      <right style="thick">
        <color rgb="FF0000FF"/>
      </right>
      <top style="thick">
        <color rgb="FF0000FF"/>
      </top>
      <bottom style="thin">
        <color indexed="64"/>
      </bottom>
      <diagonal/>
    </border>
    <border>
      <left style="thick">
        <color rgb="FF0000FF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ck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ck">
        <color rgb="FF0000FF"/>
      </bottom>
      <diagonal/>
    </border>
    <border>
      <left style="medium">
        <color rgb="FF0000FF"/>
      </left>
      <right/>
      <top style="medium">
        <color rgb="FF0000FF"/>
      </top>
      <bottom style="thin">
        <color indexed="64"/>
      </bottom>
      <diagonal/>
    </border>
    <border>
      <left/>
      <right style="medium">
        <color rgb="FF0000FF"/>
      </right>
      <top style="medium">
        <color rgb="FF0000FF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FF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 style="medium">
        <color rgb="FF0000FF"/>
      </right>
      <top style="thin">
        <color indexed="64"/>
      </top>
      <bottom style="medium">
        <color rgb="FF0000FF"/>
      </bottom>
      <diagonal/>
    </border>
    <border>
      <left style="thick">
        <color rgb="FF0000FF"/>
      </left>
      <right/>
      <top style="thick">
        <color rgb="FF0000FF"/>
      </top>
      <bottom style="medium">
        <color indexed="64"/>
      </bottom>
      <diagonal/>
    </border>
    <border>
      <left/>
      <right style="thick">
        <color rgb="FF0000FF"/>
      </right>
      <top style="thick">
        <color rgb="FF0000FF"/>
      </top>
      <bottom style="medium">
        <color indexed="64"/>
      </bottom>
      <diagonal/>
    </border>
    <border>
      <left style="thick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00FF"/>
      </right>
      <top/>
      <bottom style="thin">
        <color indexed="64"/>
      </bottom>
      <diagonal/>
    </border>
    <border>
      <left style="double">
        <color rgb="FF00B050"/>
      </left>
      <right/>
      <top style="double">
        <color rgb="FF00B050"/>
      </top>
      <bottom style="thin">
        <color indexed="64"/>
      </bottom>
      <diagonal/>
    </border>
    <border>
      <left/>
      <right/>
      <top style="double">
        <color rgb="FF00B050"/>
      </top>
      <bottom style="thin">
        <color indexed="64"/>
      </bottom>
      <diagonal/>
    </border>
    <border>
      <left/>
      <right style="double">
        <color rgb="FF00B050"/>
      </right>
      <top style="double">
        <color rgb="FF00B05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double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thin">
        <color indexed="64"/>
      </right>
      <top style="thin">
        <color indexed="64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B050"/>
      </bottom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double">
        <color rgb="FF00B050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/>
      <bottom style="thin">
        <color indexed="64"/>
      </bottom>
      <diagonal/>
    </border>
    <border>
      <left/>
      <right style="thick">
        <color rgb="FF0000FF"/>
      </right>
      <top/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0070C0"/>
      </right>
      <top style="thin">
        <color indexed="64"/>
      </top>
      <bottom/>
      <diagonal/>
    </border>
    <border>
      <left style="thick">
        <color rgb="FF0070C0"/>
      </left>
      <right/>
      <top style="thick">
        <color rgb="FF0070C0"/>
      </top>
      <bottom style="thin">
        <color indexed="64"/>
      </bottom>
      <diagonal/>
    </border>
    <border>
      <left/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0" fillId="0" borderId="0"/>
    <xf numFmtId="0" fontId="2" fillId="0" borderId="0"/>
    <xf numFmtId="0" fontId="27" fillId="0" borderId="0"/>
  </cellStyleXfs>
  <cellXfs count="60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4" fontId="3" fillId="0" borderId="1" xfId="2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vertical="center"/>
    </xf>
    <xf numFmtId="164" fontId="12" fillId="7" borderId="1" xfId="0" applyNumberFormat="1" applyFont="1" applyFill="1" applyBorder="1" applyAlignment="1">
      <alignment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14" fontId="6" fillId="0" borderId="1" xfId="2" applyNumberFormat="1" applyFont="1" applyBorder="1" applyAlignment="1">
      <alignment horizontal="center" vertical="center"/>
    </xf>
    <xf numFmtId="14" fontId="7" fillId="0" borderId="1" xfId="2" applyNumberFormat="1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 wrapText="1"/>
    </xf>
    <xf numFmtId="0" fontId="18" fillId="13" borderId="0" xfId="0" applyFont="1" applyFill="1" applyAlignment="1">
      <alignment horizontal="center" vertical="center"/>
    </xf>
    <xf numFmtId="0" fontId="12" fillId="12" borderId="0" xfId="0" applyFont="1" applyFill="1" applyAlignment="1">
      <alignment vertical="center"/>
    </xf>
    <xf numFmtId="0" fontId="12" fillId="12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vertical="center"/>
    </xf>
    <xf numFmtId="164" fontId="16" fillId="12" borderId="0" xfId="0" applyNumberFormat="1" applyFont="1" applyFill="1" applyAlignment="1">
      <alignment vertical="center"/>
    </xf>
    <xf numFmtId="164" fontId="12" fillId="12" borderId="1" xfId="0" applyNumberFormat="1" applyFont="1" applyFill="1" applyBorder="1" applyAlignment="1">
      <alignment horizontal="right" vertical="center" wrapText="1"/>
    </xf>
    <xf numFmtId="164" fontId="12" fillId="12" borderId="1" xfId="0" applyNumberFormat="1" applyFont="1" applyFill="1" applyBorder="1" applyAlignment="1">
      <alignment vertical="center"/>
    </xf>
    <xf numFmtId="164" fontId="12" fillId="12" borderId="1" xfId="0" applyNumberFormat="1" applyFont="1" applyFill="1" applyBorder="1" applyAlignment="1">
      <alignment horizontal="center" vertical="center"/>
    </xf>
    <xf numFmtId="164" fontId="14" fillId="12" borderId="1" xfId="0" applyNumberFormat="1" applyFont="1" applyFill="1" applyBorder="1" applyAlignment="1">
      <alignment horizontal="center" vertical="center" wrapText="1"/>
    </xf>
    <xf numFmtId="164" fontId="12" fillId="12" borderId="1" xfId="0" applyNumberFormat="1" applyFont="1" applyFill="1" applyBorder="1" applyAlignment="1">
      <alignment vertical="center" wrapText="1"/>
    </xf>
    <xf numFmtId="164" fontId="3" fillId="12" borderId="1" xfId="0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164" fontId="15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164" fontId="6" fillId="0" borderId="1" xfId="2" applyNumberFormat="1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14" fontId="19" fillId="0" borderId="1" xfId="2" applyNumberFormat="1" applyFont="1" applyBorder="1"/>
    <xf numFmtId="0" fontId="10" fillId="11" borderId="0" xfId="2" applyFill="1"/>
    <xf numFmtId="0" fontId="0" fillId="11" borderId="0" xfId="0" applyFill="1"/>
    <xf numFmtId="0" fontId="21" fillId="0" borderId="0" xfId="0" applyFont="1" applyAlignment="1">
      <alignment vertical="center"/>
    </xf>
    <xf numFmtId="0" fontId="21" fillId="10" borderId="1" xfId="0" applyFont="1" applyFill="1" applyBorder="1" applyAlignment="1">
      <alignment vertical="center"/>
    </xf>
    <xf numFmtId="0" fontId="21" fillId="10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vertical="center" wrapText="1"/>
    </xf>
    <xf numFmtId="164" fontId="21" fillId="10" borderId="1" xfId="0" applyNumberFormat="1" applyFont="1" applyFill="1" applyBorder="1" applyAlignment="1">
      <alignment vertical="center" wrapText="1"/>
    </xf>
    <xf numFmtId="0" fontId="21" fillId="10" borderId="1" xfId="0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horizontal="center" vertical="center" wrapText="1"/>
    </xf>
    <xf numFmtId="164" fontId="21" fillId="7" borderId="1" xfId="0" applyNumberFormat="1" applyFont="1" applyFill="1" applyBorder="1" applyAlignment="1">
      <alignment vertical="center"/>
    </xf>
    <xf numFmtId="164" fontId="21" fillId="6" borderId="1" xfId="0" applyNumberFormat="1" applyFont="1" applyFill="1" applyBorder="1" applyAlignment="1">
      <alignment vertical="center"/>
    </xf>
    <xf numFmtId="164" fontId="21" fillId="6" borderId="1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/>
    </xf>
    <xf numFmtId="164" fontId="21" fillId="8" borderId="1" xfId="0" applyNumberFormat="1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21" fillId="9" borderId="1" xfId="0" applyNumberFormat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vertical="center"/>
    </xf>
    <xf numFmtId="0" fontId="3" fillId="0" borderId="1" xfId="2" applyFont="1" applyBorder="1" applyAlignment="1">
      <alignment wrapText="1"/>
    </xf>
    <xf numFmtId="0" fontId="22" fillId="0" borderId="0" xfId="0" applyFont="1" applyAlignment="1">
      <alignment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164" fontId="23" fillId="0" borderId="0" xfId="0" applyNumberFormat="1" applyFont="1" applyAlignment="1">
      <alignment vertical="center"/>
    </xf>
    <xf numFmtId="164" fontId="22" fillId="0" borderId="1" xfId="0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vertical="center"/>
    </xf>
    <xf numFmtId="164" fontId="22" fillId="0" borderId="1" xfId="0" applyNumberFormat="1" applyFont="1" applyBorder="1" applyAlignment="1">
      <alignment horizontal="center" vertical="center"/>
    </xf>
    <xf numFmtId="164" fontId="24" fillId="5" borderId="1" xfId="0" applyNumberFormat="1" applyFont="1" applyFill="1" applyBorder="1" applyAlignment="1">
      <alignment horizontal="center" vertical="center" wrapText="1"/>
    </xf>
    <xf numFmtId="164" fontId="22" fillId="7" borderId="1" xfId="0" applyNumberFormat="1" applyFont="1" applyFill="1" applyBorder="1" applyAlignment="1">
      <alignment vertical="center" wrapText="1"/>
    </xf>
    <xf numFmtId="164" fontId="23" fillId="7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164" fontId="24" fillId="3" borderId="1" xfId="0" applyNumberFormat="1" applyFont="1" applyFill="1" applyBorder="1" applyAlignment="1">
      <alignment horizontal="center" vertical="center" wrapText="1"/>
    </xf>
    <xf numFmtId="164" fontId="24" fillId="9" borderId="1" xfId="0" applyNumberFormat="1" applyFont="1" applyFill="1" applyBorder="1" applyAlignment="1">
      <alignment horizontal="center" vertical="center" wrapText="1"/>
    </xf>
    <xf numFmtId="164" fontId="23" fillId="9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164" fontId="24" fillId="8" borderId="1" xfId="0" applyNumberFormat="1" applyFont="1" applyFill="1" applyBorder="1" applyAlignment="1">
      <alignment horizontal="center" vertical="center" wrapText="1"/>
    </xf>
    <xf numFmtId="164" fontId="20" fillId="10" borderId="1" xfId="0" applyNumberFormat="1" applyFont="1" applyFill="1" applyBorder="1" applyAlignment="1">
      <alignment vertical="center"/>
    </xf>
    <xf numFmtId="0" fontId="0" fillId="11" borderId="0" xfId="0" applyFill="1" applyAlignment="1">
      <alignment horizontal="center" vertical="center" wrapText="1"/>
    </xf>
    <xf numFmtId="0" fontId="2" fillId="11" borderId="0" xfId="3" applyFill="1" applyAlignment="1">
      <alignment horizontal="center" vertical="center" wrapText="1"/>
    </xf>
    <xf numFmtId="49" fontId="2" fillId="11" borderId="0" xfId="3" applyNumberFormat="1" applyFill="1" applyAlignment="1">
      <alignment horizontal="center" vertical="center" wrapText="1"/>
    </xf>
    <xf numFmtId="0" fontId="25" fillId="11" borderId="0" xfId="3" applyFont="1" applyFill="1" applyAlignment="1">
      <alignment horizontal="center" vertical="center" wrapText="1"/>
    </xf>
    <xf numFmtId="0" fontId="26" fillId="0" borderId="0" xfId="0" applyFont="1" applyAlignment="1">
      <alignment horizontal="center"/>
    </xf>
    <xf numFmtId="49" fontId="0" fillId="0" borderId="0" xfId="0" applyNumberFormat="1"/>
    <xf numFmtId="0" fontId="2" fillId="0" borderId="0" xfId="3"/>
    <xf numFmtId="49" fontId="2" fillId="0" borderId="0" xfId="3" applyNumberFormat="1"/>
    <xf numFmtId="0" fontId="5" fillId="0" borderId="0" xfId="1"/>
    <xf numFmtId="49" fontId="25" fillId="0" borderId="0" xfId="3" applyNumberFormat="1" applyFont="1"/>
    <xf numFmtId="49" fontId="0" fillId="0" borderId="0" xfId="0" applyNumberFormat="1" applyAlignment="1">
      <alignment horizontal="center"/>
    </xf>
    <xf numFmtId="0" fontId="0" fillId="16" borderId="0" xfId="0" applyFill="1" applyAlignment="1">
      <alignment horizontal="center"/>
    </xf>
    <xf numFmtId="0" fontId="10" fillId="16" borderId="0" xfId="2" applyFill="1"/>
    <xf numFmtId="49" fontId="10" fillId="16" borderId="0" xfId="2" applyNumberFormat="1" applyFill="1"/>
    <xf numFmtId="0" fontId="0" fillId="16" borderId="0" xfId="0" applyFill="1"/>
    <xf numFmtId="0" fontId="0" fillId="11" borderId="0" xfId="0" applyFill="1" applyAlignment="1">
      <alignment horizontal="center"/>
    </xf>
    <xf numFmtId="49" fontId="10" fillId="11" borderId="0" xfId="2" applyNumberFormat="1" applyFill="1"/>
    <xf numFmtId="0" fontId="0" fillId="0" borderId="0" xfId="0" applyAlignment="1">
      <alignment horizontal="center"/>
    </xf>
    <xf numFmtId="0" fontId="0" fillId="14" borderId="0" xfId="0" applyFill="1" applyAlignment="1">
      <alignment horizontal="center"/>
    </xf>
    <xf numFmtId="0" fontId="10" fillId="14" borderId="0" xfId="2" applyFill="1"/>
    <xf numFmtId="49" fontId="10" fillId="14" borderId="0" xfId="2" applyNumberFormat="1" applyFill="1"/>
    <xf numFmtId="0" fontId="0" fillId="14" borderId="0" xfId="0" applyFill="1"/>
    <xf numFmtId="0" fontId="5" fillId="14" borderId="0" xfId="1" applyFill="1"/>
    <xf numFmtId="0" fontId="0" fillId="0" borderId="1" xfId="0" applyBorder="1"/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0" borderId="1" xfId="3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15" borderId="0" xfId="0" applyFill="1" applyAlignment="1">
      <alignment horizontal="center" vertical="center"/>
    </xf>
    <xf numFmtId="0" fontId="27" fillId="0" borderId="0" xfId="4"/>
    <xf numFmtId="0" fontId="0" fillId="5" borderId="5" xfId="0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27" fillId="0" borderId="1" xfId="4" applyBorder="1"/>
    <xf numFmtId="0" fontId="0" fillId="0" borderId="1" xfId="0" applyBorder="1" applyAlignment="1">
      <alignment horizontal="center"/>
    </xf>
    <xf numFmtId="164" fontId="2" fillId="0" borderId="1" xfId="2" applyNumberFormat="1" applyFont="1" applyBorder="1" applyAlignment="1">
      <alignment vertical="center"/>
    </xf>
    <xf numFmtId="164" fontId="2" fillId="0" borderId="1" xfId="2" applyNumberFormat="1" applyFont="1" applyBorder="1"/>
    <xf numFmtId="14" fontId="2" fillId="0" borderId="1" xfId="2" applyNumberFormat="1" applyFont="1" applyBorder="1" applyAlignment="1">
      <alignment horizontal="center" vertical="center"/>
    </xf>
    <xf numFmtId="14" fontId="2" fillId="0" borderId="1" xfId="2" applyNumberFormat="1" applyFont="1" applyBorder="1"/>
    <xf numFmtId="0" fontId="5" fillId="0" borderId="0" xfId="1" applyAlignment="1">
      <alignment wrapText="1"/>
    </xf>
    <xf numFmtId="0" fontId="0" fillId="4" borderId="1" xfId="0" applyFill="1" applyBorder="1"/>
    <xf numFmtId="0" fontId="27" fillId="4" borderId="1" xfId="4" applyFill="1" applyBorder="1"/>
    <xf numFmtId="0" fontId="27" fillId="0" borderId="1" xfId="4" applyBorder="1" applyAlignment="1">
      <alignment horizontal="center"/>
    </xf>
    <xf numFmtId="0" fontId="26" fillId="13" borderId="0" xfId="0" applyFont="1" applyFill="1" applyAlignment="1">
      <alignment horizontal="center"/>
    </xf>
    <xf numFmtId="0" fontId="27" fillId="13" borderId="0" xfId="4" applyFill="1"/>
    <xf numFmtId="0" fontId="0" fillId="13" borderId="0" xfId="0" applyFill="1"/>
    <xf numFmtId="4" fontId="2" fillId="0" borderId="1" xfId="2" applyNumberFormat="1" applyFont="1" applyBorder="1"/>
    <xf numFmtId="0" fontId="0" fillId="17" borderId="1" xfId="0" applyFill="1" applyBorder="1" applyAlignment="1">
      <alignment horizontal="center"/>
    </xf>
    <xf numFmtId="0" fontId="27" fillId="17" borderId="1" xfId="4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27" fillId="0" borderId="5" xfId="4" applyBorder="1"/>
    <xf numFmtId="0" fontId="27" fillId="5" borderId="5" xfId="4" applyFill="1" applyBorder="1" applyAlignment="1">
      <alignment horizontal="center"/>
    </xf>
    <xf numFmtId="0" fontId="0" fillId="4" borderId="5" xfId="0" applyFill="1" applyBorder="1"/>
    <xf numFmtId="0" fontId="27" fillId="4" borderId="5" xfId="4" applyFill="1" applyBorder="1"/>
    <xf numFmtId="0" fontId="0" fillId="5" borderId="1" xfId="0" applyFill="1" applyBorder="1"/>
    <xf numFmtId="0" fontId="0" fillId="18" borderId="1" xfId="0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27" fillId="4" borderId="1" xfId="4" applyFill="1" applyBorder="1" applyAlignment="1">
      <alignment horizontal="center"/>
    </xf>
    <xf numFmtId="0" fontId="27" fillId="4" borderId="5" xfId="4" applyFill="1" applyBorder="1" applyAlignment="1">
      <alignment horizontal="center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1" fontId="0" fillId="9" borderId="1" xfId="0" applyNumberFormat="1" applyFill="1" applyBorder="1"/>
    <xf numFmtId="1" fontId="0" fillId="5" borderId="1" xfId="0" applyNumberFormat="1" applyFill="1" applyBorder="1"/>
    <xf numFmtId="0" fontId="0" fillId="11" borderId="1" xfId="0" applyFill="1" applyBorder="1"/>
    <xf numFmtId="1" fontId="0" fillId="11" borderId="5" xfId="0" applyNumberFormat="1" applyFill="1" applyBorder="1"/>
    <xf numFmtId="0" fontId="0" fillId="11" borderId="2" xfId="0" applyFill="1" applyBorder="1"/>
    <xf numFmtId="1" fontId="0" fillId="11" borderId="2" xfId="0" applyNumberFormat="1" applyFill="1" applyBorder="1"/>
    <xf numFmtId="1" fontId="0" fillId="11" borderId="4" xfId="0" applyNumberFormat="1" applyFill="1" applyBorder="1"/>
    <xf numFmtId="0" fontId="29" fillId="0" borderId="1" xfId="0" applyFont="1" applyBorder="1" applyAlignment="1">
      <alignment horizontal="center"/>
    </xf>
    <xf numFmtId="0" fontId="29" fillId="0" borderId="1" xfId="0" applyFont="1" applyBorder="1"/>
    <xf numFmtId="0" fontId="30" fillId="19" borderId="1" xfId="4" applyFont="1" applyFill="1" applyBorder="1"/>
    <xf numFmtId="0" fontId="30" fillId="0" borderId="1" xfId="4" applyFont="1" applyBorder="1"/>
    <xf numFmtId="0" fontId="30" fillId="0" borderId="1" xfId="4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19" borderId="1" xfId="0" applyFont="1" applyFill="1" applyBorder="1"/>
    <xf numFmtId="0" fontId="31" fillId="0" borderId="1" xfId="0" applyFont="1" applyBorder="1"/>
    <xf numFmtId="0" fontId="31" fillId="0" borderId="5" xfId="0" applyFont="1" applyBorder="1" applyAlignment="1">
      <alignment horizontal="center"/>
    </xf>
    <xf numFmtId="0" fontId="32" fillId="19" borderId="1" xfId="3" applyFont="1" applyFill="1" applyBorder="1"/>
    <xf numFmtId="0" fontId="32" fillId="0" borderId="1" xfId="3" applyFont="1" applyBorder="1"/>
    <xf numFmtId="0" fontId="31" fillId="0" borderId="1" xfId="0" applyFont="1" applyBorder="1" applyAlignment="1">
      <alignment horizontal="center" vertical="center"/>
    </xf>
    <xf numFmtId="0" fontId="30" fillId="0" borderId="5" xfId="4" applyFont="1" applyBorder="1" applyAlignment="1">
      <alignment horizontal="center"/>
    </xf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/>
    <xf numFmtId="0" fontId="31" fillId="0" borderId="2" xfId="0" applyFont="1" applyBorder="1"/>
    <xf numFmtId="0" fontId="31" fillId="0" borderId="4" xfId="0" applyFont="1" applyBorder="1" applyAlignment="1">
      <alignment horizontal="center"/>
    </xf>
    <xf numFmtId="0" fontId="30" fillId="0" borderId="4" xfId="4" applyFont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31" fillId="0" borderId="4" xfId="0" applyFont="1" applyBorder="1"/>
    <xf numFmtId="0" fontId="31" fillId="0" borderId="8" xfId="0" applyFont="1" applyBorder="1" applyAlignment="1">
      <alignment horizontal="center"/>
    </xf>
    <xf numFmtId="0" fontId="31" fillId="0" borderId="8" xfId="0" applyFont="1" applyBorder="1"/>
    <xf numFmtId="0" fontId="30" fillId="0" borderId="9" xfId="4" applyFont="1" applyBorder="1"/>
    <xf numFmtId="0" fontId="32" fillId="19" borderId="1" xfId="4" applyFont="1" applyFill="1" applyBorder="1"/>
    <xf numFmtId="0" fontId="32" fillId="0" borderId="1" xfId="4" applyFont="1" applyBorder="1"/>
    <xf numFmtId="0" fontId="32" fillId="0" borderId="1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3" fillId="0" borderId="1" xfId="2" applyFont="1" applyBorder="1" applyAlignment="1">
      <alignment wrapText="1"/>
    </xf>
    <xf numFmtId="4" fontId="34" fillId="0" borderId="1" xfId="2" applyNumberFormat="1" applyFont="1" applyBorder="1"/>
    <xf numFmtId="14" fontId="34" fillId="0" borderId="1" xfId="2" applyNumberFormat="1" applyFont="1" applyBorder="1"/>
    <xf numFmtId="0" fontId="12" fillId="0" borderId="1" xfId="0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center"/>
    </xf>
    <xf numFmtId="14" fontId="3" fillId="0" borderId="1" xfId="2" applyNumberFormat="1" applyFont="1" applyBorder="1" applyAlignment="1">
      <alignment horizontal="center"/>
    </xf>
    <xf numFmtId="14" fontId="2" fillId="0" borderId="1" xfId="2" applyNumberFormat="1" applyFont="1" applyBorder="1" applyAlignment="1">
      <alignment horizontal="center"/>
    </xf>
    <xf numFmtId="164" fontId="20" fillId="10" borderId="1" xfId="0" applyNumberFormat="1" applyFont="1" applyFill="1" applyBorder="1"/>
    <xf numFmtId="4" fontId="12" fillId="0" borderId="1" xfId="0" applyNumberFormat="1" applyFont="1" applyBorder="1" applyAlignment="1">
      <alignment horizontal="right" wrapText="1"/>
    </xf>
    <xf numFmtId="0" fontId="12" fillId="0" borderId="1" xfId="0" applyFont="1" applyBorder="1"/>
    <xf numFmtId="0" fontId="17" fillId="0" borderId="1" xfId="0" applyFont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 wrapText="1"/>
    </xf>
    <xf numFmtId="164" fontId="12" fillId="7" borderId="1" xfId="0" applyNumberFormat="1" applyFont="1" applyFill="1" applyBorder="1" applyAlignment="1">
      <alignment wrapText="1"/>
    </xf>
    <xf numFmtId="164" fontId="3" fillId="7" borderId="1" xfId="0" applyNumberFormat="1" applyFont="1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horizontal="center" wrapText="1"/>
    </xf>
    <xf numFmtId="164" fontId="3" fillId="8" borderId="1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164" fontId="3" fillId="9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4" fontId="12" fillId="0" borderId="1" xfId="0" applyNumberFormat="1" applyFont="1" applyBorder="1"/>
    <xf numFmtId="0" fontId="12" fillId="0" borderId="0" xfId="0" applyFont="1"/>
    <xf numFmtId="0" fontId="25" fillId="0" borderId="1" xfId="4" applyFont="1" applyBorder="1"/>
    <xf numFmtId="0" fontId="0" fillId="14" borderId="1" xfId="0" applyFill="1" applyBorder="1" applyAlignment="1">
      <alignment horizontal="center"/>
    </xf>
    <xf numFmtId="0" fontId="30" fillId="11" borderId="1" xfId="4" applyFont="1" applyFill="1" applyBorder="1"/>
    <xf numFmtId="14" fontId="0" fillId="0" borderId="0" xfId="0" applyNumberFormat="1"/>
    <xf numFmtId="0" fontId="25" fillId="0" borderId="0" xfId="4" applyFont="1"/>
    <xf numFmtId="0" fontId="0" fillId="11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35" fillId="0" borderId="1" xfId="2" applyFont="1" applyBorder="1" applyAlignment="1">
      <alignment wrapText="1"/>
    </xf>
    <xf numFmtId="4" fontId="36" fillId="0" borderId="1" xfId="2" applyNumberFormat="1" applyFont="1" applyBorder="1"/>
    <xf numFmtId="14" fontId="36" fillId="0" borderId="1" xfId="2" applyNumberFormat="1" applyFont="1" applyBorder="1"/>
    <xf numFmtId="0" fontId="0" fillId="0" borderId="3" xfId="0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0" borderId="16" xfId="0" applyBorder="1"/>
    <xf numFmtId="0" fontId="0" fillId="11" borderId="17" xfId="0" applyFill="1" applyBorder="1"/>
    <xf numFmtId="0" fontId="0" fillId="11" borderId="18" xfId="0" applyFill="1" applyBorder="1"/>
    <xf numFmtId="0" fontId="0" fillId="11" borderId="19" xfId="0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11" borderId="24" xfId="0" applyFill="1" applyBorder="1"/>
    <xf numFmtId="0" fontId="0" fillId="11" borderId="25" xfId="0" applyFill="1" applyBorder="1"/>
    <xf numFmtId="0" fontId="0" fillId="11" borderId="26" xfId="0" applyFill="1" applyBorder="1"/>
    <xf numFmtId="0" fontId="0" fillId="11" borderId="27" xfId="0" applyFill="1" applyBorder="1"/>
    <xf numFmtId="0" fontId="1" fillId="13" borderId="33" xfId="0" applyFont="1" applyFill="1" applyBorder="1"/>
    <xf numFmtId="0" fontId="1" fillId="13" borderId="34" xfId="0" applyFont="1" applyFill="1" applyBorder="1" applyAlignment="1">
      <alignment horizontal="center" vertical="center"/>
    </xf>
    <xf numFmtId="0" fontId="0" fillId="0" borderId="35" xfId="0" applyBorder="1"/>
    <xf numFmtId="0" fontId="0" fillId="0" borderId="36" xfId="0" applyBorder="1" applyAlignment="1">
      <alignment horizontal="center" vertical="center"/>
    </xf>
    <xf numFmtId="0" fontId="1" fillId="11" borderId="37" xfId="0" applyFont="1" applyFill="1" applyBorder="1"/>
    <xf numFmtId="0" fontId="1" fillId="11" borderId="38" xfId="0" applyFont="1" applyFill="1" applyBorder="1" applyAlignment="1">
      <alignment horizontal="center" vertical="center"/>
    </xf>
    <xf numFmtId="0" fontId="0" fillId="11" borderId="43" xfId="0" applyFill="1" applyBorder="1"/>
    <xf numFmtId="0" fontId="0" fillId="11" borderId="44" xfId="0" applyFill="1" applyBorder="1" applyAlignment="1">
      <alignment horizontal="center" vertical="center"/>
    </xf>
    <xf numFmtId="0" fontId="0" fillId="11" borderId="37" xfId="0" applyFill="1" applyBorder="1"/>
    <xf numFmtId="0" fontId="0" fillId="11" borderId="38" xfId="0" applyFill="1" applyBorder="1" applyAlignment="1">
      <alignment horizontal="center" vertical="center"/>
    </xf>
    <xf numFmtId="0" fontId="0" fillId="19" borderId="1" xfId="0" applyFill="1" applyBorder="1"/>
    <xf numFmtId="0" fontId="1" fillId="7" borderId="1" xfId="0" applyFont="1" applyFill="1" applyBorder="1"/>
    <xf numFmtId="0" fontId="0" fillId="0" borderId="33" xfId="0" applyBorder="1"/>
    <xf numFmtId="0" fontId="0" fillId="0" borderId="34" xfId="0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37" fillId="0" borderId="1" xfId="4" applyFont="1" applyBorder="1"/>
    <xf numFmtId="0" fontId="4" fillId="0" borderId="1" xfId="3" applyFont="1" applyBorder="1"/>
    <xf numFmtId="0" fontId="0" fillId="20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9" fillId="7" borderId="52" xfId="0" applyFont="1" applyFill="1" applyBorder="1" applyAlignment="1">
      <alignment vertical="center"/>
    </xf>
    <xf numFmtId="0" fontId="29" fillId="7" borderId="53" xfId="0" applyFont="1" applyFill="1" applyBorder="1" applyAlignment="1">
      <alignment vertical="center"/>
    </xf>
    <xf numFmtId="0" fontId="29" fillId="7" borderId="54" xfId="0" applyFont="1" applyFill="1" applyBorder="1" applyAlignment="1">
      <alignment horizontal="center" vertical="center"/>
    </xf>
    <xf numFmtId="0" fontId="29" fillId="11" borderId="55" xfId="0" applyFont="1" applyFill="1" applyBorder="1" applyAlignment="1">
      <alignment horizontal="left" vertical="center"/>
    </xf>
    <xf numFmtId="0" fontId="29" fillId="11" borderId="1" xfId="0" applyFont="1" applyFill="1" applyBorder="1" applyAlignment="1">
      <alignment horizontal="center" vertical="center"/>
    </xf>
    <xf numFmtId="0" fontId="29" fillId="11" borderId="56" xfId="0" applyFont="1" applyFill="1" applyBorder="1" applyAlignment="1">
      <alignment horizontal="center" vertical="center" wrapText="1"/>
    </xf>
    <xf numFmtId="0" fontId="0" fillId="0" borderId="57" xfId="0" applyBorder="1"/>
    <xf numFmtId="0" fontId="0" fillId="0" borderId="58" xfId="0" applyBorder="1"/>
    <xf numFmtId="0" fontId="39" fillId="0" borderId="55" xfId="0" applyFont="1" applyBorder="1" applyAlignment="1">
      <alignment horizontal="left" vertical="center"/>
    </xf>
    <xf numFmtId="0" fontId="39" fillId="0" borderId="1" xfId="0" applyFont="1" applyBorder="1" applyAlignment="1">
      <alignment horizontal="right" vertical="center"/>
    </xf>
    <xf numFmtId="0" fontId="39" fillId="0" borderId="56" xfId="0" applyFont="1" applyBorder="1" applyAlignment="1">
      <alignment horizontal="right" vertical="center"/>
    </xf>
    <xf numFmtId="0" fontId="0" fillId="0" borderId="57" xfId="0" applyBorder="1" applyAlignment="1">
      <alignment horizontal="left"/>
    </xf>
    <xf numFmtId="0" fontId="0" fillId="0" borderId="58" xfId="0" applyBorder="1" applyAlignment="1">
      <alignment horizontal="right"/>
    </xf>
    <xf numFmtId="0" fontId="29" fillId="11" borderId="56" xfId="0" applyFont="1" applyFill="1" applyBorder="1" applyAlignment="1">
      <alignment horizontal="center" vertical="center"/>
    </xf>
    <xf numFmtId="0" fontId="1" fillId="11" borderId="57" xfId="0" applyFont="1" applyFill="1" applyBorder="1"/>
    <xf numFmtId="0" fontId="1" fillId="11" borderId="58" xfId="0" applyFont="1" applyFill="1" applyBorder="1"/>
    <xf numFmtId="0" fontId="29" fillId="20" borderId="59" xfId="0" applyFont="1" applyFill="1" applyBorder="1" applyAlignment="1">
      <alignment horizontal="left" vertical="center"/>
    </xf>
    <xf numFmtId="0" fontId="29" fillId="20" borderId="60" xfId="0" applyFont="1" applyFill="1" applyBorder="1" applyAlignment="1">
      <alignment horizontal="center" vertical="center"/>
    </xf>
    <xf numFmtId="0" fontId="29" fillId="0" borderId="61" xfId="0" applyFont="1" applyBorder="1" applyAlignment="1">
      <alignment horizontal="center" vertical="center"/>
    </xf>
    <xf numFmtId="0" fontId="1" fillId="11" borderId="62" xfId="0" applyFont="1" applyFill="1" applyBorder="1"/>
    <xf numFmtId="0" fontId="1" fillId="11" borderId="63" xfId="0" applyFont="1" applyFill="1" applyBorder="1"/>
    <xf numFmtId="0" fontId="1" fillId="11" borderId="64" xfId="0" applyFont="1" applyFill="1" applyBorder="1"/>
    <xf numFmtId="0" fontId="1" fillId="7" borderId="52" xfId="0" applyFont="1" applyFill="1" applyBorder="1" applyAlignment="1">
      <alignment horizontal="center"/>
    </xf>
    <xf numFmtId="0" fontId="1" fillId="7" borderId="53" xfId="0" applyFont="1" applyFill="1" applyBorder="1" applyAlignment="1">
      <alignment horizontal="center"/>
    </xf>
    <xf numFmtId="0" fontId="1" fillId="7" borderId="54" xfId="0" applyFont="1" applyFill="1" applyBorder="1" applyAlignment="1">
      <alignment horizontal="center"/>
    </xf>
    <xf numFmtId="0" fontId="1" fillId="0" borderId="33" xfId="0" applyFont="1" applyBorder="1"/>
    <xf numFmtId="0" fontId="1" fillId="0" borderId="34" xfId="0" applyFont="1" applyBorder="1" applyAlignment="1">
      <alignment horizontal="center" vertical="center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center" vertical="center"/>
    </xf>
    <xf numFmtId="0" fontId="0" fillId="0" borderId="41" xfId="0" applyBorder="1"/>
    <xf numFmtId="0" fontId="0" fillId="0" borderId="34" xfId="0" applyBorder="1"/>
    <xf numFmtId="0" fontId="1" fillId="7" borderId="45" xfId="0" applyFont="1" applyFill="1" applyBorder="1" applyAlignment="1">
      <alignment horizontal="center"/>
    </xf>
    <xf numFmtId="0" fontId="1" fillId="7" borderId="46" xfId="0" applyFont="1" applyFill="1" applyBorder="1" applyAlignment="1">
      <alignment horizontal="center"/>
    </xf>
    <xf numFmtId="0" fontId="0" fillId="0" borderId="47" xfId="0" applyBorder="1"/>
    <xf numFmtId="0" fontId="0" fillId="0" borderId="48" xfId="0" applyBorder="1" applyAlignment="1">
      <alignment horizontal="center" vertical="center"/>
    </xf>
    <xf numFmtId="0" fontId="0" fillId="0" borderId="69" xfId="0" applyBorder="1"/>
    <xf numFmtId="0" fontId="0" fillId="0" borderId="5" xfId="0" applyBorder="1"/>
    <xf numFmtId="0" fontId="0" fillId="0" borderId="70" xfId="0" applyBorder="1"/>
    <xf numFmtId="0" fontId="0" fillId="0" borderId="58" xfId="0" applyBorder="1" applyAlignment="1">
      <alignment horizontal="center"/>
    </xf>
    <xf numFmtId="0" fontId="1" fillId="11" borderId="37" xfId="0" applyFont="1" applyFill="1" applyBorder="1" applyAlignment="1">
      <alignment horizontal="center"/>
    </xf>
    <xf numFmtId="0" fontId="1" fillId="11" borderId="38" xfId="0" applyFont="1" applyFill="1" applyBorder="1"/>
    <xf numFmtId="0" fontId="0" fillId="0" borderId="73" xfId="0" applyBorder="1"/>
    <xf numFmtId="0" fontId="0" fillId="0" borderId="74" xfId="0" applyBorder="1"/>
    <xf numFmtId="0" fontId="1" fillId="11" borderId="64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1" borderId="7" xfId="0" applyFill="1" applyBorder="1"/>
    <xf numFmtId="0" fontId="0" fillId="11" borderId="13" xfId="0" applyFill="1" applyBorder="1"/>
    <xf numFmtId="0" fontId="0" fillId="13" borderId="17" xfId="0" applyFill="1" applyBorder="1"/>
    <xf numFmtId="0" fontId="0" fillId="13" borderId="1" xfId="0" applyFill="1" applyBorder="1"/>
    <xf numFmtId="0" fontId="0" fillId="13" borderId="18" xfId="0" applyFill="1" applyBorder="1"/>
    <xf numFmtId="0" fontId="0" fillId="13" borderId="19" xfId="0" applyFill="1" applyBorder="1"/>
    <xf numFmtId="0" fontId="0" fillId="13" borderId="13" xfId="0" applyFill="1" applyBorder="1"/>
    <xf numFmtId="0" fontId="0" fillId="0" borderId="22" xfId="0" applyBorder="1" applyAlignment="1">
      <alignment horizontal="center"/>
    </xf>
    <xf numFmtId="0" fontId="0" fillId="11" borderId="26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1" borderId="3" xfId="0" applyFill="1" applyBorder="1"/>
    <xf numFmtId="0" fontId="0" fillId="0" borderId="3" xfId="0" applyBorder="1"/>
    <xf numFmtId="0" fontId="0" fillId="0" borderId="7" xfId="0" applyBorder="1"/>
    <xf numFmtId="0" fontId="0" fillId="9" borderId="17" xfId="0" applyFill="1" applyBorder="1"/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0" fillId="9" borderId="18" xfId="0" applyFill="1" applyBorder="1"/>
    <xf numFmtId="0" fontId="0" fillId="9" borderId="3" xfId="0" applyFill="1" applyBorder="1" applyAlignment="1">
      <alignment horizontal="center"/>
    </xf>
    <xf numFmtId="0" fontId="0" fillId="9" borderId="19" xfId="0" applyFill="1" applyBorder="1"/>
    <xf numFmtId="0" fontId="0" fillId="9" borderId="20" xfId="0" applyFill="1" applyBorder="1"/>
    <xf numFmtId="1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0" fontId="0" fillId="13" borderId="7" xfId="0" applyFill="1" applyBorder="1"/>
    <xf numFmtId="14" fontId="40" fillId="0" borderId="1" xfId="0" applyNumberFormat="1" applyFont="1" applyBorder="1"/>
    <xf numFmtId="0" fontId="41" fillId="0" borderId="1" xfId="0" applyFont="1" applyBorder="1" applyAlignment="1">
      <alignment wrapText="1"/>
    </xf>
    <xf numFmtId="4" fontId="40" fillId="0" borderId="1" xfId="0" applyNumberFormat="1" applyFont="1" applyBorder="1"/>
    <xf numFmtId="0" fontId="0" fillId="7" borderId="1" xfId="0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29" fillId="7" borderId="15" xfId="0" applyFont="1" applyFill="1" applyBorder="1" applyAlignment="1">
      <alignment horizontal="center" vertical="center"/>
    </xf>
    <xf numFmtId="0" fontId="29" fillId="7" borderId="3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/>
    </xf>
    <xf numFmtId="0" fontId="0" fillId="21" borderId="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39" fillId="0" borderId="0" xfId="0" applyFont="1"/>
    <xf numFmtId="0" fontId="0" fillId="4" borderId="1" xfId="0" applyFill="1" applyBorder="1" applyAlignment="1">
      <alignment horizontal="center" wrapText="1"/>
    </xf>
    <xf numFmtId="1" fontId="0" fillId="4" borderId="1" xfId="0" applyNumberFormat="1" applyFill="1" applyBorder="1" applyAlignment="1">
      <alignment horizontal="center"/>
    </xf>
    <xf numFmtId="1" fontId="42" fillId="9" borderId="1" xfId="0" applyNumberFormat="1" applyFont="1" applyFill="1" applyBorder="1"/>
    <xf numFmtId="1" fontId="42" fillId="5" borderId="1" xfId="0" applyNumberFormat="1" applyFont="1" applyFill="1" applyBorder="1"/>
    <xf numFmtId="1" fontId="43" fillId="11" borderId="5" xfId="0" applyNumberFormat="1" applyFont="1" applyFill="1" applyBorder="1"/>
    <xf numFmtId="0" fontId="43" fillId="11" borderId="1" xfId="0" applyFont="1" applyFill="1" applyBorder="1"/>
    <xf numFmtId="1" fontId="44" fillId="11" borderId="2" xfId="0" applyNumberFormat="1" applyFont="1" applyFill="1" applyBorder="1"/>
    <xf numFmtId="1" fontId="43" fillId="11" borderId="3" xfId="0" applyNumberFormat="1" applyFont="1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75" xfId="0" applyBorder="1" applyAlignment="1">
      <alignment horizontal="center"/>
    </xf>
    <xf numFmtId="0" fontId="1" fillId="7" borderId="3" xfId="0" applyFont="1" applyFill="1" applyBorder="1" applyAlignment="1">
      <alignment horizontal="center" wrapText="1"/>
    </xf>
    <xf numFmtId="0" fontId="41" fillId="0" borderId="1" xfId="2" applyFont="1" applyBorder="1" applyAlignment="1">
      <alignment wrapText="1"/>
    </xf>
    <xf numFmtId="4" fontId="40" fillId="0" borderId="1" xfId="2" applyNumberFormat="1" applyFont="1" applyBorder="1"/>
    <xf numFmtId="14" fontId="40" fillId="0" borderId="1" xfId="2" applyNumberFormat="1" applyFont="1" applyBorder="1"/>
    <xf numFmtId="0" fontId="0" fillId="11" borderId="1" xfId="0" applyFill="1" applyBorder="1" applyAlignment="1">
      <alignment horizontal="center" vertical="center"/>
    </xf>
    <xf numFmtId="0" fontId="0" fillId="22" borderId="1" xfId="0" applyFill="1" applyBorder="1" applyAlignment="1">
      <alignment horizontal="center"/>
    </xf>
    <xf numFmtId="0" fontId="45" fillId="11" borderId="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6" fillId="0" borderId="1" xfId="0" quotePrefix="1" applyFont="1" applyBorder="1" applyAlignment="1">
      <alignment horizontal="center" vertical="center" wrapText="1"/>
    </xf>
    <xf numFmtId="0" fontId="46" fillId="0" borderId="9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6" fillId="0" borderId="1" xfId="0" applyFont="1" applyBorder="1" applyAlignment="1">
      <alignment vertical="center" wrapText="1"/>
    </xf>
    <xf numFmtId="0" fontId="49" fillId="0" borderId="1" xfId="0" applyFont="1" applyBorder="1" applyAlignment="1">
      <alignment horizontal="left" vertical="center" readingOrder="1"/>
    </xf>
    <xf numFmtId="0" fontId="0" fillId="7" borderId="1" xfId="0" applyFill="1" applyBorder="1"/>
    <xf numFmtId="0" fontId="49" fillId="11" borderId="1" xfId="0" applyFont="1" applyFill="1" applyBorder="1" applyAlignment="1">
      <alignment horizontal="left" vertical="center" readingOrder="1"/>
    </xf>
    <xf numFmtId="0" fontId="4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50" fillId="0" borderId="1" xfId="0" quotePrefix="1" applyFont="1" applyBorder="1" applyAlignment="1">
      <alignment horizontal="left" vertical="center" wrapText="1"/>
    </xf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0" borderId="84" xfId="0" applyBorder="1"/>
    <xf numFmtId="0" fontId="0" fillId="0" borderId="85" xfId="0" applyBorder="1"/>
    <xf numFmtId="0" fontId="0" fillId="0" borderId="86" xfId="0" applyBorder="1"/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51" fillId="0" borderId="1" xfId="2" applyFont="1" applyBorder="1" applyAlignment="1">
      <alignment wrapText="1"/>
    </xf>
    <xf numFmtId="4" fontId="52" fillId="0" borderId="1" xfId="2" applyNumberFormat="1" applyFont="1" applyBorder="1"/>
    <xf numFmtId="14" fontId="52" fillId="0" borderId="1" xfId="2" applyNumberFormat="1" applyFont="1" applyBorder="1"/>
    <xf numFmtId="0" fontId="12" fillId="1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1" fontId="0" fillId="9" borderId="5" xfId="0" applyNumberFormat="1" applyFill="1" applyBorder="1"/>
    <xf numFmtId="1" fontId="0" fillId="5" borderId="5" xfId="0" applyNumberFormat="1" applyFill="1" applyBorder="1"/>
    <xf numFmtId="1" fontId="42" fillId="9" borderId="5" xfId="0" applyNumberFormat="1" applyFont="1" applyFill="1" applyBorder="1"/>
    <xf numFmtId="1" fontId="42" fillId="5" borderId="5" xfId="0" applyNumberFormat="1" applyFont="1" applyFill="1" applyBorder="1"/>
    <xf numFmtId="0" fontId="1" fillId="13" borderId="1" xfId="0" applyFont="1" applyFill="1" applyBorder="1" applyAlignment="1">
      <alignment horizontal="center"/>
    </xf>
    <xf numFmtId="0" fontId="43" fillId="13" borderId="1" xfId="0" applyFont="1" applyFill="1" applyBorder="1"/>
    <xf numFmtId="0" fontId="0" fillId="21" borderId="0" xfId="0" applyFill="1"/>
    <xf numFmtId="165" fontId="0" fillId="21" borderId="1" xfId="0" applyNumberFormat="1" applyFill="1" applyBorder="1" applyAlignment="1">
      <alignment horizontal="center"/>
    </xf>
    <xf numFmtId="0" fontId="0" fillId="23" borderId="0" xfId="0" applyFill="1"/>
    <xf numFmtId="0" fontId="0" fillId="23" borderId="1" xfId="0" applyFill="1" applyBorder="1" applyAlignment="1">
      <alignment horizontal="center"/>
    </xf>
    <xf numFmtId="165" fontId="0" fillId="23" borderId="1" xfId="0" applyNumberFormat="1" applyFill="1" applyBorder="1" applyAlignment="1">
      <alignment horizontal="center"/>
    </xf>
    <xf numFmtId="0" fontId="0" fillId="24" borderId="0" xfId="0" applyFill="1"/>
    <xf numFmtId="0" fontId="0" fillId="24" borderId="1" xfId="0" applyFill="1" applyBorder="1" applyAlignment="1">
      <alignment horizontal="center"/>
    </xf>
    <xf numFmtId="165" fontId="0" fillId="24" borderId="1" xfId="0" applyNumberFormat="1" applyFill="1" applyBorder="1" applyAlignment="1">
      <alignment horizontal="center"/>
    </xf>
    <xf numFmtId="165" fontId="0" fillId="11" borderId="1" xfId="0" applyNumberFormat="1" applyFill="1" applyBorder="1" applyAlignment="1">
      <alignment horizontal="center"/>
    </xf>
    <xf numFmtId="1" fontId="0" fillId="0" borderId="0" xfId="0" applyNumberFormat="1"/>
    <xf numFmtId="1" fontId="0" fillId="21" borderId="1" xfId="0" applyNumberFormat="1" applyFill="1" applyBorder="1" applyAlignment="1">
      <alignment horizontal="center"/>
    </xf>
    <xf numFmtId="1" fontId="0" fillId="23" borderId="1" xfId="0" applyNumberFormat="1" applyFill="1" applyBorder="1" applyAlignment="1">
      <alignment horizontal="center"/>
    </xf>
    <xf numFmtId="1" fontId="0" fillId="24" borderId="1" xfId="0" applyNumberFormat="1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0" fontId="1" fillId="0" borderId="12" xfId="0" applyFont="1" applyBorder="1"/>
    <xf numFmtId="0" fontId="0" fillId="0" borderId="12" xfId="0" applyBorder="1"/>
    <xf numFmtId="0" fontId="53" fillId="0" borderId="0" xfId="0" applyFont="1"/>
    <xf numFmtId="0" fontId="0" fillId="0" borderId="75" xfId="0" applyBorder="1"/>
    <xf numFmtId="6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0" fontId="0" fillId="0" borderId="2" xfId="0" applyBorder="1"/>
    <xf numFmtId="0" fontId="54" fillId="11" borderId="1" xfId="0" applyFont="1" applyFill="1" applyBorder="1"/>
    <xf numFmtId="0" fontId="3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43" fillId="0" borderId="1" xfId="0" applyFont="1" applyBorder="1"/>
    <xf numFmtId="0" fontId="54" fillId="0" borderId="1" xfId="0" applyFont="1" applyBorder="1"/>
    <xf numFmtId="0" fontId="43" fillId="0" borderId="0" xfId="0" applyFont="1"/>
    <xf numFmtId="0" fontId="42" fillId="0" borderId="1" xfId="0" applyFont="1" applyBorder="1"/>
    <xf numFmtId="0" fontId="0" fillId="0" borderId="10" xfId="0" applyBorder="1"/>
    <xf numFmtId="0" fontId="43" fillId="25" borderId="1" xfId="0" applyFont="1" applyFill="1" applyBorder="1"/>
    <xf numFmtId="1" fontId="43" fillId="25" borderId="1" xfId="0" applyNumberFormat="1" applyFont="1" applyFill="1" applyBorder="1"/>
    <xf numFmtId="1" fontId="43" fillId="0" borderId="1" xfId="0" applyNumberFormat="1" applyFont="1" applyBorder="1"/>
    <xf numFmtId="1" fontId="44" fillId="0" borderId="1" xfId="0" applyNumberFormat="1" applyFont="1" applyBorder="1"/>
    <xf numFmtId="0" fontId="1" fillId="0" borderId="0" xfId="0" applyFont="1"/>
    <xf numFmtId="0" fontId="39" fillId="0" borderId="0" xfId="0" quotePrefix="1" applyFont="1" applyAlignment="1">
      <alignment horizontal="left" vertical="center"/>
    </xf>
    <xf numFmtId="14" fontId="52" fillId="0" borderId="1" xfId="0" applyNumberFormat="1" applyFont="1" applyBorder="1"/>
    <xf numFmtId="0" fontId="51" fillId="0" borderId="1" xfId="0" applyFont="1" applyBorder="1" applyAlignment="1">
      <alignment wrapText="1"/>
    </xf>
    <xf numFmtId="4" fontId="52" fillId="0" borderId="1" xfId="0" applyNumberFormat="1" applyFont="1" applyBorder="1"/>
    <xf numFmtId="164" fontId="16" fillId="0" borderId="0" xfId="0" applyNumberFormat="1" applyFont="1" applyAlignment="1">
      <alignment vertical="center"/>
    </xf>
    <xf numFmtId="164" fontId="12" fillId="0" borderId="1" xfId="0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164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right" vertical="center" wrapText="1"/>
    </xf>
    <xf numFmtId="164" fontId="20" fillId="0" borderId="1" xfId="0" applyNumberFormat="1" applyFont="1" applyBorder="1" applyAlignment="1">
      <alignment vertical="center"/>
    </xf>
    <xf numFmtId="164" fontId="20" fillId="0" borderId="1" xfId="0" applyNumberFormat="1" applyFont="1" applyBorder="1" applyAlignment="1">
      <alignment horizontal="center" vertical="center"/>
    </xf>
    <xf numFmtId="164" fontId="56" fillId="0" borderId="1" xfId="0" applyNumberFormat="1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55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wrapText="1"/>
    </xf>
    <xf numFmtId="14" fontId="20" fillId="0" borderId="1" xfId="0" applyNumberFormat="1" applyFont="1" applyBorder="1" applyAlignment="1">
      <alignment horizontal="center" vertical="center" wrapText="1"/>
    </xf>
    <xf numFmtId="0" fontId="57" fillId="0" borderId="1" xfId="2" applyFont="1" applyBorder="1" applyAlignment="1">
      <alignment wrapText="1"/>
    </xf>
    <xf numFmtId="4" fontId="58" fillId="0" borderId="1" xfId="2" applyNumberFormat="1" applyFont="1" applyBorder="1"/>
    <xf numFmtId="14" fontId="58" fillId="0" borderId="1" xfId="2" applyNumberFormat="1" applyFont="1" applyBorder="1"/>
    <xf numFmtId="0" fontId="59" fillId="5" borderId="0" xfId="2" applyFont="1" applyFill="1"/>
    <xf numFmtId="0" fontId="10" fillId="5" borderId="0" xfId="2" applyFill="1"/>
    <xf numFmtId="0" fontId="60" fillId="5" borderId="0" xfId="2" applyFont="1" applyFill="1"/>
    <xf numFmtId="0" fontId="61" fillId="5" borderId="0" xfId="2" applyFont="1" applyFill="1" applyAlignment="1">
      <alignment horizontal="right"/>
    </xf>
    <xf numFmtId="0" fontId="61" fillId="5" borderId="0" xfId="2" applyFont="1" applyFill="1"/>
    <xf numFmtId="0" fontId="62" fillId="5" borderId="1" xfId="2" applyFont="1" applyFill="1" applyBorder="1" applyAlignment="1">
      <alignment horizontal="right"/>
    </xf>
    <xf numFmtId="0" fontId="62" fillId="5" borderId="1" xfId="2" applyFont="1" applyFill="1" applyBorder="1" applyAlignment="1">
      <alignment horizontal="center"/>
    </xf>
    <xf numFmtId="14" fontId="58" fillId="5" borderId="1" xfId="2" applyNumberFormat="1" applyFont="1" applyFill="1" applyBorder="1"/>
    <xf numFmtId="0" fontId="57" fillId="5" borderId="1" xfId="2" applyFont="1" applyFill="1" applyBorder="1" applyAlignment="1">
      <alignment wrapText="1"/>
    </xf>
    <xf numFmtId="4" fontId="58" fillId="5" borderId="1" xfId="2" applyNumberFormat="1" applyFont="1" applyFill="1" applyBorder="1"/>
    <xf numFmtId="0" fontId="57" fillId="0" borderId="0" xfId="2" applyFont="1" applyAlignment="1">
      <alignment wrapText="1"/>
    </xf>
    <xf numFmtId="0" fontId="10" fillId="11" borderId="1" xfId="2" applyFill="1" applyBorder="1"/>
    <xf numFmtId="0" fontId="62" fillId="11" borderId="1" xfId="2" applyFont="1" applyFill="1" applyBorder="1" applyAlignment="1">
      <alignment horizontal="right"/>
    </xf>
    <xf numFmtId="4" fontId="0" fillId="11" borderId="1" xfId="0" applyNumberFormat="1" applyFill="1" applyBorder="1"/>
    <xf numFmtId="0" fontId="57" fillId="11" borderId="9" xfId="2" applyFont="1" applyFill="1" applyBorder="1" applyAlignment="1">
      <alignment wrapText="1"/>
    </xf>
    <xf numFmtId="0" fontId="59" fillId="4" borderId="0" xfId="2" applyFont="1" applyFill="1"/>
    <xf numFmtId="0" fontId="10" fillId="4" borderId="0" xfId="2" applyFill="1"/>
    <xf numFmtId="0" fontId="60" fillId="4" borderId="0" xfId="2" applyFont="1" applyFill="1"/>
    <xf numFmtId="0" fontId="61" fillId="4" borderId="0" xfId="2" applyFont="1" applyFill="1" applyAlignment="1">
      <alignment horizontal="right"/>
    </xf>
    <xf numFmtId="0" fontId="0" fillId="4" borderId="0" xfId="0" applyFill="1"/>
    <xf numFmtId="0" fontId="61" fillId="4" borderId="0" xfId="2" applyFont="1" applyFill="1"/>
    <xf numFmtId="0" fontId="62" fillId="4" borderId="1" xfId="2" applyFont="1" applyFill="1" applyBorder="1" applyAlignment="1">
      <alignment horizontal="right"/>
    </xf>
    <xf numFmtId="0" fontId="62" fillId="4" borderId="1" xfId="2" applyFont="1" applyFill="1" applyBorder="1" applyAlignment="1">
      <alignment horizontal="center"/>
    </xf>
    <xf numFmtId="0" fontId="62" fillId="4" borderId="2" xfId="2" applyFont="1" applyFill="1" applyBorder="1" applyAlignment="1">
      <alignment horizontal="right"/>
    </xf>
    <xf numFmtId="14" fontId="58" fillId="4" borderId="1" xfId="2" applyNumberFormat="1" applyFont="1" applyFill="1" applyBorder="1"/>
    <xf numFmtId="0" fontId="57" fillId="4" borderId="1" xfId="2" applyFont="1" applyFill="1" applyBorder="1" applyAlignment="1">
      <alignment wrapText="1"/>
    </xf>
    <xf numFmtId="4" fontId="58" fillId="4" borderId="1" xfId="2" applyNumberFormat="1" applyFont="1" applyFill="1" applyBorder="1"/>
    <xf numFmtId="4" fontId="58" fillId="4" borderId="2" xfId="2" applyNumberFormat="1" applyFont="1" applyFill="1" applyBorder="1"/>
    <xf numFmtId="2" fontId="42" fillId="0" borderId="1" xfId="0" applyNumberFormat="1" applyFont="1" applyBorder="1"/>
    <xf numFmtId="2" fontId="43" fillId="0" borderId="1" xfId="0" applyNumberFormat="1" applyFont="1" applyBorder="1"/>
    <xf numFmtId="2" fontId="43" fillId="26" borderId="1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3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vertical="center"/>
    </xf>
    <xf numFmtId="1" fontId="0" fillId="9" borderId="1" xfId="0" applyNumberFormat="1" applyFill="1" applyBorder="1" applyAlignment="1">
      <alignment vertical="center"/>
    </xf>
    <xf numFmtId="1" fontId="0" fillId="5" borderId="1" xfId="0" applyNumberFormat="1" applyFill="1" applyBorder="1" applyAlignment="1">
      <alignment vertical="center"/>
    </xf>
    <xf numFmtId="1" fontId="42" fillId="9" borderId="1" xfId="0" applyNumberFormat="1" applyFont="1" applyFill="1" applyBorder="1" applyAlignment="1">
      <alignment vertical="center"/>
    </xf>
    <xf numFmtId="1" fontId="42" fillId="5" borderId="1" xfId="0" applyNumberFormat="1" applyFont="1" applyFill="1" applyBorder="1" applyAlignment="1">
      <alignment vertical="center"/>
    </xf>
    <xf numFmtId="0" fontId="43" fillId="13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4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63" fillId="0" borderId="0" xfId="0" applyFont="1"/>
    <xf numFmtId="0" fontId="4" fillId="0" borderId="0" xfId="0" applyFont="1"/>
    <xf numFmtId="0" fontId="38" fillId="5" borderId="1" xfId="0" applyFont="1" applyFill="1" applyBorder="1" applyAlignment="1">
      <alignment horizontal="center"/>
    </xf>
    <xf numFmtId="0" fontId="43" fillId="5" borderId="1" xfId="0" applyFont="1" applyFill="1" applyBorder="1"/>
    <xf numFmtId="0" fontId="43" fillId="5" borderId="1" xfId="0" applyFont="1" applyFill="1" applyBorder="1" applyAlignment="1">
      <alignment vertical="center" wrapText="1"/>
    </xf>
    <xf numFmtId="0" fontId="29" fillId="0" borderId="0" xfId="0" applyFont="1" applyAlignment="1">
      <alignment horizontal="center"/>
    </xf>
    <xf numFmtId="0" fontId="39" fillId="0" borderId="0" xfId="0" applyFont="1" applyAlignment="1">
      <alignment vertical="center" wrapText="1"/>
    </xf>
    <xf numFmtId="0" fontId="64" fillId="0" borderId="0" xfId="0" applyFont="1"/>
    <xf numFmtId="0" fontId="65" fillId="0" borderId="0" xfId="0" applyFont="1"/>
    <xf numFmtId="0" fontId="53" fillId="0" borderId="1" xfId="0" applyFont="1" applyBorder="1"/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38" fillId="5" borderId="1" xfId="0" applyFont="1" applyFill="1" applyBorder="1" applyAlignment="1">
      <alignment horizontal="center"/>
    </xf>
    <xf numFmtId="0" fontId="1" fillId="7" borderId="71" xfId="0" applyFont="1" applyFill="1" applyBorder="1" applyAlignment="1">
      <alignment horizontal="center"/>
    </xf>
    <xf numFmtId="0" fontId="1" fillId="7" borderId="72" xfId="0" applyFont="1" applyFill="1" applyBorder="1" applyAlignment="1">
      <alignment horizontal="center"/>
    </xf>
    <xf numFmtId="0" fontId="38" fillId="7" borderId="49" xfId="0" applyFont="1" applyFill="1" applyBorder="1" applyAlignment="1">
      <alignment horizontal="center" vertical="center"/>
    </xf>
    <xf numFmtId="0" fontId="38" fillId="7" borderId="50" xfId="0" applyFont="1" applyFill="1" applyBorder="1" applyAlignment="1">
      <alignment horizontal="center" vertical="center"/>
    </xf>
    <xf numFmtId="0" fontId="38" fillId="7" borderId="51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13" borderId="31" xfId="0" applyFont="1" applyFill="1" applyBorder="1" applyAlignment="1">
      <alignment horizontal="center" vertical="center"/>
    </xf>
    <xf numFmtId="0" fontId="1" fillId="13" borderId="32" xfId="0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/>
    </xf>
    <xf numFmtId="0" fontId="1" fillId="13" borderId="32" xfId="0" applyFont="1" applyFill="1" applyBorder="1" applyAlignment="1">
      <alignment horizontal="center"/>
    </xf>
    <xf numFmtId="0" fontId="1" fillId="7" borderId="39" xfId="0" applyFont="1" applyFill="1" applyBorder="1" applyAlignment="1">
      <alignment horizontal="center"/>
    </xf>
    <xf numFmtId="0" fontId="1" fillId="7" borderId="40" xfId="0" applyFont="1" applyFill="1" applyBorder="1" applyAlignment="1">
      <alignment horizontal="center"/>
    </xf>
    <xf numFmtId="0" fontId="1" fillId="7" borderId="65" xfId="0" applyFont="1" applyFill="1" applyBorder="1" applyAlignment="1">
      <alignment horizontal="center" wrapText="1"/>
    </xf>
    <xf numFmtId="0" fontId="1" fillId="7" borderId="66" xfId="0" applyFont="1" applyFill="1" applyBorder="1" applyAlignment="1">
      <alignment horizontal="center" wrapText="1"/>
    </xf>
    <xf numFmtId="0" fontId="1" fillId="7" borderId="67" xfId="0" applyFont="1" applyFill="1" applyBorder="1" applyAlignment="1">
      <alignment horizontal="center" wrapText="1"/>
    </xf>
    <xf numFmtId="0" fontId="1" fillId="7" borderId="68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29" fillId="0" borderId="12" xfId="0" applyFon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11" borderId="12" xfId="0" applyFont="1" applyFill="1" applyBorder="1" applyAlignment="1">
      <alignment horizontal="center"/>
    </xf>
    <xf numFmtId="0" fontId="45" fillId="11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left" vertical="center"/>
    </xf>
    <xf numFmtId="0" fontId="0" fillId="11" borderId="0" xfId="0" applyFill="1" applyAlignment="1">
      <alignment horizontal="center"/>
    </xf>
  </cellXfs>
  <cellStyles count="5">
    <cellStyle name="Lien hypertexte" xfId="1" builtinId="8"/>
    <cellStyle name="Normal" xfId="0" builtinId="0"/>
    <cellStyle name="Normal 2" xfId="2" xr:uid="{41FD6AAE-9AAB-44D7-9187-36EFFB253BF4}"/>
    <cellStyle name="Normal 3" xfId="3" xr:uid="{151F9625-EE48-4791-896F-95D923C0A0C9}"/>
    <cellStyle name="Normal 4" xfId="4" xr:uid="{9B9A5CC3-6C9E-4314-B4BD-26F576F24496}"/>
  </cellStyles>
  <dxfs count="6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66FF33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colors>
    <mruColors>
      <color rgb="FFCCFF99"/>
      <color rgb="FF66FF66"/>
      <color rgb="FF99FF33"/>
      <color rgb="FF66FF33"/>
      <color rgb="FFFF66FF"/>
      <color rgb="FF99FF99"/>
      <color rgb="FF0000FF"/>
      <color rgb="FFFB05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RECETTES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0B0-4856-94E5-970C3BC3A2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40B0-4856-94E5-970C3BC3A2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0B0-4856-94E5-970C3BC3A2F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40B0-4856-94E5-970C3BC3A2F4}"/>
              </c:ext>
            </c:extLst>
          </c:dPt>
          <c:dLbls>
            <c:dLbl>
              <c:idx val="0"/>
              <c:layout>
                <c:manualLayout>
                  <c:x val="-3.0153819940635491E-2"/>
                  <c:y val="-0.17625170968166981"/>
                </c:manualLayout>
              </c:layout>
              <c:tx>
                <c:rich>
                  <a:bodyPr/>
                  <a:lstStyle/>
                  <a:p>
                    <a:fld id="{A1020F3B-B2C0-4F8E-97FC-6BBA53F85FAF}" type="CELLRANGE">
                      <a:rPr lang="en-US" baseline="0"/>
                      <a:pPr/>
                      <a:t>[PLAGECELL]</a:t>
                    </a:fld>
                    <a:r>
                      <a:rPr lang="en-US" baseline="0"/>
                      <a:t>; </a:t>
                    </a:r>
                    <a:fld id="{5A8FCEE1-91B9-483B-833C-484B1FD476DD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0B0-4856-94E5-970C3BC3A2F4}"/>
                </c:ext>
              </c:extLst>
            </c:dLbl>
            <c:dLbl>
              <c:idx val="1"/>
              <c:layout>
                <c:manualLayout>
                  <c:x val="-3.156236218089338E-3"/>
                  <c:y val="7.1450929738965399E-2"/>
                </c:manualLayout>
              </c:layout>
              <c:tx>
                <c:rich>
                  <a:bodyPr/>
                  <a:lstStyle/>
                  <a:p>
                    <a:fld id="{5F90CE9B-1F3C-4B1F-8E08-750976EEC85A}" type="CELLRANGE">
                      <a:rPr lang="en-US" baseline="0"/>
                      <a:pPr/>
                      <a:t>[PLAGECELL]</a:t>
                    </a:fld>
                    <a:r>
                      <a:rPr lang="en-US" baseline="0"/>
                      <a:t>; </a:t>
                    </a:r>
                    <a:fld id="{556241A3-5D81-4DF9-8CED-605AE8BA571F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0B0-4856-94E5-970C3BC3A2F4}"/>
                </c:ext>
              </c:extLst>
            </c:dLbl>
            <c:dLbl>
              <c:idx val="2"/>
              <c:layout>
                <c:manualLayout>
                  <c:x val="1.1963222572353957E-2"/>
                  <c:y val="-6.216993323348978E-2"/>
                </c:manualLayout>
              </c:layout>
              <c:tx>
                <c:rich>
                  <a:bodyPr/>
                  <a:lstStyle/>
                  <a:p>
                    <a:fld id="{05C28A4B-94DC-4327-839A-E903518A944E}" type="CELLRANGE">
                      <a:rPr lang="en-US" baseline="0"/>
                      <a:pPr/>
                      <a:t>[PLAGECELL]</a:t>
                    </a:fld>
                    <a:r>
                      <a:rPr lang="en-US" baseline="0"/>
                      <a:t>; </a:t>
                    </a:r>
                    <a:fld id="{36BBD9B1-1673-4CA1-A738-FCB749ACACB2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0B0-4856-94E5-970C3BC3A2F4}"/>
                </c:ext>
              </c:extLst>
            </c:dLbl>
            <c:dLbl>
              <c:idx val="3"/>
              <c:layout>
                <c:manualLayout>
                  <c:x val="-0.15583093223940778"/>
                  <c:y val="-2.396492732267717E-3"/>
                </c:manualLayout>
              </c:layout>
              <c:tx>
                <c:rich>
                  <a:bodyPr/>
                  <a:lstStyle/>
                  <a:p>
                    <a:fld id="{2E6F3CC0-8B08-45AB-8778-B816FF61A5CF}" type="CELLRANGE">
                      <a:rPr lang="en-US" baseline="0"/>
                      <a:pPr/>
                      <a:t>[PLAGECELL]</a:t>
                    </a:fld>
                    <a:r>
                      <a:rPr lang="en-US" baseline="0"/>
                      <a:t>; </a:t>
                    </a:r>
                    <a:fld id="{29A3DECA-7769-4CB6-800D-744281C22268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0B0-4856-94E5-970C3BC3A2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(RECAP!$A$3:$A$5,RECAP!$A$7)</c:f>
              <c:strCache>
                <c:ptCount val="4"/>
                <c:pt idx="0">
                  <c:v>LICENCES / COTISATION</c:v>
                </c:pt>
                <c:pt idx="1">
                  <c:v>MAIRIE SUBV.</c:v>
                </c:pt>
                <c:pt idx="2">
                  <c:v>CONCOURS</c:v>
                </c:pt>
                <c:pt idx="3">
                  <c:v>LOCATION ARCS</c:v>
                </c:pt>
              </c:strCache>
            </c:strRef>
          </c:cat>
          <c:val>
            <c:numRef>
              <c:f>(RECAP!$G$3:$G$5,RECAP!$G$7)</c:f>
              <c:numCache>
                <c:formatCode>General</c:formatCode>
                <c:ptCount val="4"/>
                <c:pt idx="0">
                  <c:v>4236</c:v>
                </c:pt>
                <c:pt idx="1">
                  <c:v>1800</c:v>
                </c:pt>
                <c:pt idx="2">
                  <c:v>1685.6000000000001</c:v>
                </c:pt>
                <c:pt idx="3">
                  <c:v>990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(RECAP!$A$3:$A$5,RECAP!$A$7)</c15:f>
                <c15:dlblRangeCache>
                  <c:ptCount val="4"/>
                  <c:pt idx="0">
                    <c:v>LICENCES / COTISATION</c:v>
                  </c:pt>
                  <c:pt idx="1">
                    <c:v>MAIRIE SUBV.</c:v>
                  </c:pt>
                  <c:pt idx="2">
                    <c:v>CONCOURS</c:v>
                  </c:pt>
                  <c:pt idx="3">
                    <c:v>LOCATION ARCS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40B0-4856-94E5-970C3BC3A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DEPENSES 24-25</a:t>
            </a:r>
          </a:p>
        </c:rich>
      </c:tx>
      <c:layout>
        <c:manualLayout>
          <c:xMode val="edge"/>
          <c:yMode val="edge"/>
          <c:x val="0.45135844320941376"/>
          <c:y val="3.6206898190193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026814141729855E-2"/>
          <c:y val="0.19308350045630832"/>
          <c:w val="0.82142734565019193"/>
          <c:h val="0.6946548418252711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1FC-4929-AADC-3940E4BA69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51FC-4929-AADC-3940E4BA69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1FC-4929-AADC-3940E4BA69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1FC-4929-AADC-3940E4BA69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1FC-4929-AADC-3940E4BA69C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51FC-4929-AADC-3940E4BA69C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1FC-4929-AADC-3940E4BA69C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51FC-4929-AADC-3940E4BA69C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1FC-4929-AADC-3940E4BA69C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51FC-4929-AADC-3940E4BA69C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1FC-4929-AADC-3940E4BA69C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51FC-4929-AADC-3940E4BA69C3}"/>
              </c:ext>
            </c:extLst>
          </c:dPt>
          <c:dLbls>
            <c:dLbl>
              <c:idx val="0"/>
              <c:layout>
                <c:manualLayout>
                  <c:x val="-2.9415120188597305E-3"/>
                  <c:y val="-9.6139926515518448E-2"/>
                </c:manualLayout>
              </c:layout>
              <c:tx>
                <c:rich>
                  <a:bodyPr/>
                  <a:lstStyle/>
                  <a:p>
                    <a:fld id="{76039829-B009-47D9-99E8-DC1D7EBCC470}" type="CELLRANGE">
                      <a:rPr lang="en-US" baseline="0"/>
                      <a:pPr/>
                      <a:t>[PLAGECELL]</a:t>
                    </a:fld>
                    <a:r>
                      <a:rPr lang="en-US" baseline="0"/>
                      <a:t>; </a:t>
                    </a:r>
                    <a:fld id="{219220B9-873F-41C4-BBF2-5E0B474CA200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1FC-4929-AADC-3940E4BA69C3}"/>
                </c:ext>
              </c:extLst>
            </c:dLbl>
            <c:dLbl>
              <c:idx val="1"/>
              <c:layout>
                <c:manualLayout>
                  <c:x val="0.17045861779038579"/>
                  <c:y val="-1.6008960811338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DB3AB3A-3696-4462-BC0D-1F7244BBF201}" type="CELLRANGE">
                      <a:rPr lang="en-US" baseline="0"/>
                      <a:pPr>
                        <a:defRPr/>
                      </a:pPr>
                      <a:t>[PLAGECELL]</a:t>
                    </a:fld>
                    <a:r>
                      <a:rPr lang="en-US" baseline="0"/>
                      <a:t>; </a:t>
                    </a:r>
                    <a:fld id="{2862C172-41FA-48EB-A2B4-226C2922E9BC}" type="VALUE">
                      <a:rPr lang="en-US" baseline="0"/>
                      <a:pPr>
                        <a:defRPr/>
                      </a:pPr>
                      <a:t>[VALEUR]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0534375002994"/>
                      <c:h val="0.104885016964658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1FC-4929-AADC-3940E4BA69C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38A094D-513A-4D07-B518-678D0615D8F0}" type="CELLRANGE">
                      <a:rPr lang="fr-FR"/>
                      <a:pPr/>
                      <a:t>[PLAGECELL]</a:t>
                    </a:fld>
                    <a:r>
                      <a:rPr lang="fr-FR" baseline="0"/>
                      <a:t>; </a:t>
                    </a:r>
                    <a:fld id="{A3BABE50-AAD1-4CFB-86E7-57CA4BE84B7D}" type="VALUE">
                      <a:rPr lang="fr-FR" baseline="0"/>
                      <a:pPr/>
                      <a:t>[VALEUR]</a:t>
                    </a:fld>
                    <a:endParaRPr lang="fr-FR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1FC-4929-AADC-3940E4BA69C3}"/>
                </c:ext>
              </c:extLst>
            </c:dLbl>
            <c:dLbl>
              <c:idx val="3"/>
              <c:layout>
                <c:manualLayout>
                  <c:x val="-0.12324870166786665"/>
                  <c:y val="4.4897820838891343E-2"/>
                </c:manualLayout>
              </c:layout>
              <c:tx>
                <c:rich>
                  <a:bodyPr/>
                  <a:lstStyle/>
                  <a:p>
                    <a:fld id="{6F6F4D91-9177-45E4-879B-87F9A57E66C1}" type="CELLRANGE">
                      <a:rPr lang="en-US" baseline="0"/>
                      <a:pPr/>
                      <a:t>[PLAGECELL]</a:t>
                    </a:fld>
                    <a:r>
                      <a:rPr lang="en-US" baseline="0"/>
                      <a:t>; </a:t>
                    </a:r>
                    <a:fld id="{05395561-A076-4289-9F5E-81EB9712BE62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51FC-4929-AADC-3940E4BA69C3}"/>
                </c:ext>
              </c:extLst>
            </c:dLbl>
            <c:dLbl>
              <c:idx val="4"/>
              <c:layout>
                <c:manualLayout>
                  <c:x val="1.1591179490522678E-2"/>
                  <c:y val="0.15703688827210102"/>
                </c:manualLayout>
              </c:layout>
              <c:tx>
                <c:rich>
                  <a:bodyPr/>
                  <a:lstStyle/>
                  <a:p>
                    <a:fld id="{9D845DD8-9177-4249-9EBB-DDC5EE615DFA}" type="CELLRANGE">
                      <a:rPr lang="en-US" baseline="0"/>
                      <a:pPr/>
                      <a:t>[PLAGECELL]</a:t>
                    </a:fld>
                    <a:r>
                      <a:rPr lang="en-US" baseline="0"/>
                      <a:t>; </a:t>
                    </a:r>
                    <a:fld id="{ED8000B9-66C6-4F86-BBEF-DA15B2B931A0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1FC-4929-AADC-3940E4BA69C3}"/>
                </c:ext>
              </c:extLst>
            </c:dLbl>
            <c:dLbl>
              <c:idx val="5"/>
              <c:layout>
                <c:manualLayout>
                  <c:x val="-4.0051425169379977E-2"/>
                  <c:y val="0.27492186057208168"/>
                </c:manualLayout>
              </c:layout>
              <c:tx>
                <c:rich>
                  <a:bodyPr/>
                  <a:lstStyle/>
                  <a:p>
                    <a:fld id="{7D101DBC-6F9C-496F-9175-0DAF4896BFA5}" type="CELLRANGE">
                      <a:rPr lang="en-US" baseline="0"/>
                      <a:pPr/>
                      <a:t>[PLAGECELL]</a:t>
                    </a:fld>
                    <a:r>
                      <a:rPr lang="en-US" baseline="0"/>
                      <a:t>; </a:t>
                    </a:r>
                    <a:fld id="{53664B65-411A-4B7A-A4F5-1AFBA8851C96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1FC-4929-AADC-3940E4BA69C3}"/>
                </c:ext>
              </c:extLst>
            </c:dLbl>
            <c:dLbl>
              <c:idx val="6"/>
              <c:layout>
                <c:manualLayout>
                  <c:x val="-0.10916209761770314"/>
                  <c:y val="0.12325043548060619"/>
                </c:manualLayout>
              </c:layout>
              <c:tx>
                <c:rich>
                  <a:bodyPr/>
                  <a:lstStyle/>
                  <a:p>
                    <a:fld id="{29BFF88D-09D8-40E2-A310-2105DADF029C}" type="CELLRANGE">
                      <a:rPr lang="en-US" baseline="0"/>
                      <a:pPr/>
                      <a:t>[PLAGECELL]</a:t>
                    </a:fld>
                    <a:r>
                      <a:rPr lang="en-US" baseline="0"/>
                      <a:t>; </a:t>
                    </a:r>
                    <a:fld id="{CF3B1B8B-0F71-4FBC-A2C7-90019F68F25B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1FC-4929-AADC-3940E4BA69C3}"/>
                </c:ext>
              </c:extLst>
            </c:dLbl>
            <c:dLbl>
              <c:idx val="7"/>
              <c:layout>
                <c:manualLayout>
                  <c:x val="-9.1317065313991697E-2"/>
                  <c:y val="3.038275094500637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8C00BBB-8D64-4446-A8EA-A4577099BD92}" type="CELLRANGE">
                      <a:rPr lang="en-US" baseline="0"/>
                      <a:pPr>
                        <a:defRPr/>
                      </a:pPr>
                      <a:t>[PLAGECELL]</a:t>
                    </a:fld>
                    <a:r>
                      <a:rPr lang="en-US" baseline="0"/>
                      <a:t>; </a:t>
                    </a:r>
                    <a:fld id="{3499E9CE-5945-44C0-A489-E0D68B05C2DF}" type="VALUE">
                      <a:rPr lang="en-US" baseline="0"/>
                      <a:pPr>
                        <a:defRPr/>
                      </a:pPr>
                      <a:t>[VALEUR]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193559582347861"/>
                      <c:h val="0.1015804643669320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1FC-4929-AADC-3940E4BA69C3}"/>
                </c:ext>
              </c:extLst>
            </c:dLbl>
            <c:dLbl>
              <c:idx val="8"/>
              <c:layout>
                <c:manualLayout>
                  <c:x val="-5.0000527290140921E-2"/>
                  <c:y val="-4.5939996648565351E-2"/>
                </c:manualLayout>
              </c:layout>
              <c:tx>
                <c:rich>
                  <a:bodyPr/>
                  <a:lstStyle/>
                  <a:p>
                    <a:fld id="{9CF97E89-DF30-4D3A-8A87-9A9B851FE1F5}" type="CELLRANGE">
                      <a:rPr lang="en-US" baseline="0"/>
                      <a:pPr/>
                      <a:t>[PLAGECELL]</a:t>
                    </a:fld>
                    <a:r>
                      <a:rPr lang="en-US" baseline="0"/>
                      <a:t>; </a:t>
                    </a:r>
                    <a:fld id="{F1745EEB-6EE0-45DF-A2CA-8ECBD70D1801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1FC-4929-AADC-3940E4BA69C3}"/>
                </c:ext>
              </c:extLst>
            </c:dLbl>
            <c:dLbl>
              <c:idx val="9"/>
              <c:layout>
                <c:manualLayout>
                  <c:x val="-4.991999570498213E-2"/>
                  <c:y val="-0.1098139700341193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55B41FD-7429-4823-AC1D-6942B4F1925C}" type="CELLRANGE">
                      <a:rPr lang="en-US" baseline="0"/>
                      <a:pPr>
                        <a:defRPr/>
                      </a:pPr>
                      <a:t>[PLAGECELL]</a:t>
                    </a:fld>
                    <a:r>
                      <a:rPr lang="en-US" baseline="0"/>
                      <a:t>; </a:t>
                    </a:r>
                    <a:fld id="{D25D8C92-C359-4F8A-BBA6-B79381056D30}" type="VALUE">
                      <a:rPr lang="en-US" baseline="0"/>
                      <a:pPr>
                        <a:defRPr/>
                      </a:pPr>
                      <a:t>[VALEUR]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86144157289692"/>
                      <c:h val="0.1408046040729751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1FC-4929-AADC-3940E4BA69C3}"/>
                </c:ext>
              </c:extLst>
            </c:dLbl>
            <c:dLbl>
              <c:idx val="10"/>
              <c:layout>
                <c:manualLayout>
                  <c:x val="8.2476806424119531E-2"/>
                  <c:y val="-8.652545870782237E-2"/>
                </c:manualLayout>
              </c:layout>
              <c:tx>
                <c:rich>
                  <a:bodyPr/>
                  <a:lstStyle/>
                  <a:p>
                    <a:fld id="{ADACBD9C-278D-4A75-93B7-822D75069E56}" type="CELLRANGE">
                      <a:rPr lang="en-US" baseline="0"/>
                      <a:pPr/>
                      <a:t>[PLAGECELL]</a:t>
                    </a:fld>
                    <a:r>
                      <a:rPr lang="en-US" baseline="0"/>
                      <a:t>; </a:t>
                    </a:r>
                    <a:fld id="{976F3211-EB56-47A7-9262-1457646FDD2D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111208366848211"/>
                      <c:h val="0.1446467166552048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1FC-4929-AADC-3940E4BA69C3}"/>
                </c:ext>
              </c:extLst>
            </c:dLbl>
            <c:dLbl>
              <c:idx val="11"/>
              <c:layout>
                <c:manualLayout>
                  <c:x val="0.54059702665883069"/>
                  <c:y val="-2.04399502416485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B181D7E-154C-4F75-B502-F7526400F43E}" type="CELLRANGE">
                      <a:rPr lang="en-US" baseline="0"/>
                      <a:pPr>
                        <a:defRPr/>
                      </a:pPr>
                      <a:t>[PLAGECELL]</a:t>
                    </a:fld>
                    <a:r>
                      <a:rPr lang="en-US" baseline="0"/>
                      <a:t>; </a:t>
                    </a:r>
                    <a:fld id="{C1838458-13FF-4BFE-AD1D-E774139FAFA8}" type="VALUE">
                      <a:rPr lang="en-US" baseline="0"/>
                      <a:pPr>
                        <a:defRPr/>
                      </a:pPr>
                      <a:t>[VALEUR]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85469705263987"/>
                      <c:h val="0.1528735701363729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1FC-4929-AADC-3940E4BA69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RECAP!$H$8:$H$19</c:f>
              <c:numCache>
                <c:formatCode>General</c:formatCode>
                <c:ptCount val="12"/>
                <c:pt idx="0">
                  <c:v>4083.9600000000005</c:v>
                </c:pt>
                <c:pt idx="1">
                  <c:v>352</c:v>
                </c:pt>
                <c:pt idx="2">
                  <c:v>488.72</c:v>
                </c:pt>
                <c:pt idx="3">
                  <c:v>215</c:v>
                </c:pt>
                <c:pt idx="4">
                  <c:v>2030.66</c:v>
                </c:pt>
                <c:pt idx="5">
                  <c:v>128.89999999999998</c:v>
                </c:pt>
                <c:pt idx="6">
                  <c:v>202.48999999999998</c:v>
                </c:pt>
                <c:pt idx="7">
                  <c:v>34.130000000000003</c:v>
                </c:pt>
                <c:pt idx="8">
                  <c:v>276.83999999999997</c:v>
                </c:pt>
                <c:pt idx="9">
                  <c:v>174.42</c:v>
                </c:pt>
                <c:pt idx="10">
                  <c:v>135</c:v>
                </c:pt>
                <c:pt idx="11">
                  <c:v>770.11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RECAP!$A$8:$A$19</c15:f>
                <c15:dlblRangeCache>
                  <c:ptCount val="12"/>
                  <c:pt idx="0">
                    <c:v>ENTRAINEUR</c:v>
                  </c:pt>
                  <c:pt idx="1">
                    <c:v>Engagt CONCOUR (hors TAE Equipe)</c:v>
                  </c:pt>
                  <c:pt idx="2">
                    <c:v>Badges / Flèche/Bon d'achat</c:v>
                  </c:pt>
                  <c:pt idx="3">
                    <c:v>MAILLOTS</c:v>
                  </c:pt>
                  <c:pt idx="4">
                    <c:v>MAT. SPORTIF INVESTISSEMENT</c:v>
                  </c:pt>
                  <c:pt idx="5">
                    <c:v>MAT. SPORTIF Consommable + Flèches</c:v>
                  </c:pt>
                  <c:pt idx="6">
                    <c:v>MAT. AUTRES</c:v>
                  </c:pt>
                  <c:pt idx="7">
                    <c:v>CONVIVIALITE</c:v>
                  </c:pt>
                  <c:pt idx="8">
                    <c:v>ADMINISTRATION + ASSURANCE</c:v>
                  </c:pt>
                  <c:pt idx="9">
                    <c:v>FRAIS de DEPLACEMENT ( hors Eq.)</c:v>
                  </c:pt>
                  <c:pt idx="10">
                    <c:v>FORMATION (Participation Stage)</c:v>
                  </c:pt>
                  <c:pt idx="11">
                    <c:v>Equipes TAE (Engagt + Repas + Coach)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51FC-4929-AADC-3940E4BA6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4169228</xdr:colOff>
      <xdr:row>1</xdr:row>
      <xdr:rowOff>119742</xdr:rowOff>
    </xdr:from>
    <xdr:to>
      <xdr:col>20</xdr:col>
      <xdr:colOff>468085</xdr:colOff>
      <xdr:row>15</xdr:row>
      <xdr:rowOff>152400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3F3735A-2D7A-1A4A-FA1F-B7A7AB406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4158342</xdr:colOff>
      <xdr:row>16</xdr:row>
      <xdr:rowOff>76199</xdr:rowOff>
    </xdr:from>
    <xdr:to>
      <xdr:col>20</xdr:col>
      <xdr:colOff>435427</xdr:colOff>
      <xdr:row>30</xdr:row>
      <xdr:rowOff>32656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CA5C695-E9C1-78C5-6159-B23DBD47A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851646</xdr:colOff>
      <xdr:row>24</xdr:row>
      <xdr:rowOff>80683</xdr:rowOff>
    </xdr:from>
    <xdr:to>
      <xdr:col>26</xdr:col>
      <xdr:colOff>542754</xdr:colOff>
      <xdr:row>45</xdr:row>
      <xdr:rowOff>182367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466FA04-790E-D34F-F9B1-77F2842F0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91811" y="5172636"/>
          <a:ext cx="4496190" cy="4404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169159</xdr:colOff>
      <xdr:row>0</xdr:row>
      <xdr:rowOff>188258</xdr:rowOff>
    </xdr:from>
    <xdr:to>
      <xdr:col>38</xdr:col>
      <xdr:colOff>192608</xdr:colOff>
      <xdr:row>29</xdr:row>
      <xdr:rowOff>84484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399739E-BC76-CE78-1E81-ABE0EBFC0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09542" y="188258"/>
          <a:ext cx="9565013" cy="5793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246062</xdr:colOff>
      <xdr:row>46</xdr:row>
      <xdr:rowOff>149679</xdr:rowOff>
    </xdr:from>
    <xdr:to>
      <xdr:col>6</xdr:col>
      <xdr:colOff>232786</xdr:colOff>
      <xdr:row>62</xdr:row>
      <xdr:rowOff>136090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B8D3A49-351F-4E09-B57B-04153EB7E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1705" y="8273143"/>
          <a:ext cx="4234329" cy="28224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451821</xdr:colOff>
      <xdr:row>0</xdr:row>
      <xdr:rowOff>178846</xdr:rowOff>
    </xdr:from>
    <xdr:to>
      <xdr:col>13</xdr:col>
      <xdr:colOff>175623</xdr:colOff>
      <xdr:row>24</xdr:row>
      <xdr:rowOff>15153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42154ED-5F75-4345-9D53-A1E188270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6574" y="178846"/>
          <a:ext cx="2879378" cy="4139366"/>
        </a:xfrm>
        <a:prstGeom prst="rect">
          <a:avLst/>
        </a:prstGeom>
      </xdr:spPr>
    </xdr:pic>
    <xdr:clientData/>
  </xdr:twoCellAnchor>
  <xdr:twoCellAnchor editAs="oneCell">
    <xdr:from>
      <xdr:col>12</xdr:col>
      <xdr:colOff>655321</xdr:colOff>
      <xdr:row>0</xdr:row>
      <xdr:rowOff>38100</xdr:rowOff>
    </xdr:from>
    <xdr:to>
      <xdr:col>17</xdr:col>
      <xdr:colOff>99061</xdr:colOff>
      <xdr:row>23</xdr:row>
      <xdr:rowOff>75295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187F18C-043E-AACB-C540-352D33A0F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91801" y="38100"/>
          <a:ext cx="3406140" cy="4243435"/>
        </a:xfrm>
        <a:prstGeom prst="rect">
          <a:avLst/>
        </a:prstGeom>
      </xdr:spPr>
    </xdr:pic>
    <xdr:clientData/>
  </xdr:twoCellAnchor>
  <xdr:twoCellAnchor editAs="oneCell">
    <xdr:from>
      <xdr:col>9</xdr:col>
      <xdr:colOff>143435</xdr:colOff>
      <xdr:row>27</xdr:row>
      <xdr:rowOff>19285</xdr:rowOff>
    </xdr:from>
    <xdr:to>
      <xdr:col>17</xdr:col>
      <xdr:colOff>257735</xdr:colOff>
      <xdr:row>37</xdr:row>
      <xdr:rowOff>112972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BBFE019-79D0-0B03-67B3-09D5EF747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88188" y="4322344"/>
          <a:ext cx="6425453" cy="1886628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</xdr:colOff>
      <xdr:row>9</xdr:row>
      <xdr:rowOff>53789</xdr:rowOff>
    </xdr:from>
    <xdr:to>
      <xdr:col>5</xdr:col>
      <xdr:colOff>53787</xdr:colOff>
      <xdr:row>15</xdr:row>
      <xdr:rowOff>116970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483FE11-73B3-E30C-083A-654B7CE1B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929" y="1667436"/>
          <a:ext cx="5199529" cy="1138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daretgilbert@yahoo.fr" TargetMode="External"/><Relationship Id="rId13" Type="http://schemas.openxmlformats.org/officeDocument/2006/relationships/hyperlink" Target="mailto:romain.cuir@gmail.com" TargetMode="External"/><Relationship Id="rId18" Type="http://schemas.openxmlformats.org/officeDocument/2006/relationships/hyperlink" Target="mailto:Malou.j698@gmail.com" TargetMode="External"/><Relationship Id="rId3" Type="http://schemas.openxmlformats.org/officeDocument/2006/relationships/hyperlink" Target="mailto:pichon_ch@hotmail.com" TargetMode="External"/><Relationship Id="rId7" Type="http://schemas.openxmlformats.org/officeDocument/2006/relationships/hyperlink" Target="mailto:amandine.lahure@yahoo.fr" TargetMode="External"/><Relationship Id="rId12" Type="http://schemas.openxmlformats.org/officeDocument/2006/relationships/hyperlink" Target="mailto:ph-michel@live.fr" TargetMode="External"/><Relationship Id="rId17" Type="http://schemas.openxmlformats.org/officeDocument/2006/relationships/hyperlink" Target="mailto:pierrot.menu@free.fr" TargetMode="External"/><Relationship Id="rId2" Type="http://schemas.openxmlformats.org/officeDocument/2006/relationships/hyperlink" Target="mailto:jjval@bbox.fr" TargetMode="External"/><Relationship Id="rId16" Type="http://schemas.openxmlformats.org/officeDocument/2006/relationships/hyperlink" Target="mailto:a.prinmaz@laposte.net" TargetMode="External"/><Relationship Id="rId1" Type="http://schemas.openxmlformats.org/officeDocument/2006/relationships/hyperlink" Target="mailto:niniquiero@hotmail.fr" TargetMode="External"/><Relationship Id="rId6" Type="http://schemas.openxmlformats.org/officeDocument/2006/relationships/hyperlink" Target="mailto:contact@lahu.re" TargetMode="External"/><Relationship Id="rId11" Type="http://schemas.openxmlformats.org/officeDocument/2006/relationships/hyperlink" Target="mailto:odivan69@yahoo.fr" TargetMode="External"/><Relationship Id="rId5" Type="http://schemas.openxmlformats.org/officeDocument/2006/relationships/hyperlink" Target="mailto:chcl.vds@gmail.com" TargetMode="External"/><Relationship Id="rId15" Type="http://schemas.openxmlformats.org/officeDocument/2006/relationships/hyperlink" Target="mailto:alex.queney@icloud.com" TargetMode="External"/><Relationship Id="rId10" Type="http://schemas.openxmlformats.org/officeDocument/2006/relationships/hyperlink" Target="mailto:marabou3@hotmail.fr" TargetMode="External"/><Relationship Id="rId4" Type="http://schemas.openxmlformats.org/officeDocument/2006/relationships/hyperlink" Target="mailto:sebastienmasson@orange.fr" TargetMode="External"/><Relationship Id="rId9" Type="http://schemas.openxmlformats.org/officeDocument/2006/relationships/hyperlink" Target="mailto:guillaume@queney.eu" TargetMode="External"/><Relationship Id="rId14" Type="http://schemas.openxmlformats.org/officeDocument/2006/relationships/hyperlink" Target="mailto:guillaume@queney.eu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272F6-2104-474B-B131-2179DB69409C}">
  <dimension ref="A1:AZ233"/>
  <sheetViews>
    <sheetView tabSelected="1" topLeftCell="A3" zoomScale="85" zoomScaleNormal="85" workbookViewId="0">
      <pane xSplit="15816" ySplit="1812" topLeftCell="J6" activePane="bottomLeft"/>
      <selection activeCell="G5" sqref="G5"/>
      <selection pane="topRight" activeCell="AN4" sqref="AN4"/>
      <selection pane="bottomLeft" activeCell="D9" sqref="D9"/>
      <selection pane="bottomRight" activeCell="AK246" sqref="AK246"/>
    </sheetView>
  </sheetViews>
  <sheetFormatPr baseColWidth="10" defaultColWidth="11.44140625" defaultRowHeight="10.199999999999999" x14ac:dyDescent="0.3"/>
  <cols>
    <col min="1" max="1" width="9.109375" style="7" bestFit="1" customWidth="1"/>
    <col min="2" max="2" width="13.33203125" style="7" customWidth="1"/>
    <col min="3" max="3" width="11.88671875" style="23" bestFit="1" customWidth="1"/>
    <col min="4" max="4" width="45.6640625" style="7" customWidth="1"/>
    <col min="5" max="5" width="12" style="7" customWidth="1"/>
    <col min="6" max="6" width="11.44140625" style="7"/>
    <col min="7" max="7" width="11.44140625" style="29"/>
    <col min="8" max="8" width="6.33203125" style="29" hidden="1" customWidth="1"/>
    <col min="9" max="9" width="53.44140625" style="7" bestFit="1" customWidth="1"/>
    <col min="10" max="10" width="8.6640625" style="23" customWidth="1"/>
    <col min="11" max="11" width="12.88671875" style="7" customWidth="1"/>
    <col min="12" max="12" width="9.6640625" style="7" bestFit="1" customWidth="1"/>
    <col min="13" max="13" width="11.109375" style="7" bestFit="1" customWidth="1"/>
    <col min="14" max="15" width="10.44140625" style="7" customWidth="1"/>
    <col min="16" max="21" width="10.44140625" style="23" customWidth="1"/>
    <col min="22" max="23" width="11.44140625" style="23"/>
    <col min="24" max="24" width="11.88671875" style="23" customWidth="1"/>
    <col min="25" max="27" width="10.44140625" style="23" customWidth="1"/>
    <col min="28" max="28" width="13.6640625" style="23" customWidth="1"/>
    <col min="29" max="29" width="13.44140625" style="23" customWidth="1"/>
    <col min="30" max="30" width="10.44140625" style="23" customWidth="1"/>
    <col min="31" max="31" width="12.6640625" style="23" customWidth="1"/>
    <col min="32" max="32" width="12.33203125" style="23" customWidth="1"/>
    <col min="33" max="33" width="11.44140625" style="23"/>
    <col min="34" max="39" width="10.44140625" style="7" customWidth="1"/>
    <col min="40" max="40" width="11.44140625" style="7"/>
    <col min="41" max="41" width="11.6640625" style="23" customWidth="1"/>
    <col min="42" max="42" width="17.33203125" style="7" customWidth="1"/>
    <col min="43" max="43" width="12.5546875" style="7" customWidth="1"/>
    <col min="44" max="44" width="19.33203125" style="7" customWidth="1"/>
    <col min="45" max="45" width="21.44140625" style="7" customWidth="1"/>
    <col min="46" max="46" width="1.33203125" style="7" customWidth="1"/>
    <col min="47" max="47" width="22.33203125" style="7" customWidth="1"/>
    <col min="48" max="48" width="17.5546875" style="7" customWidth="1"/>
    <col min="49" max="49" width="1.5546875" style="7" customWidth="1"/>
    <col min="50" max="51" width="16.5546875" style="7" customWidth="1"/>
    <col min="52" max="16384" width="11.44140625" style="7"/>
  </cols>
  <sheetData>
    <row r="1" spans="1:52" ht="20.399999999999999" x14ac:dyDescent="0.3">
      <c r="A1" s="59">
        <f>SUBTOTAL(103,A9:A227)</f>
        <v>219</v>
      </c>
      <c r="C1" s="35"/>
      <c r="D1" s="27"/>
      <c r="E1" s="28"/>
      <c r="G1" s="74"/>
      <c r="K1" s="22"/>
      <c r="L1" s="555" t="s">
        <v>13</v>
      </c>
      <c r="M1" s="556"/>
      <c r="N1" s="560" t="s">
        <v>0</v>
      </c>
      <c r="O1" s="561"/>
      <c r="P1" s="562"/>
      <c r="Q1" s="4" t="s">
        <v>94</v>
      </c>
      <c r="R1" s="563" t="s">
        <v>1</v>
      </c>
      <c r="S1" s="564"/>
      <c r="T1" s="564"/>
      <c r="U1" s="565"/>
      <c r="V1" s="551" t="s">
        <v>19</v>
      </c>
      <c r="W1" s="552"/>
      <c r="X1" s="546" t="s">
        <v>22</v>
      </c>
      <c r="Y1" s="547"/>
      <c r="Z1" s="546" t="s">
        <v>53</v>
      </c>
      <c r="AA1" s="547"/>
      <c r="AB1" s="548" t="s">
        <v>54</v>
      </c>
      <c r="AC1" s="549"/>
      <c r="AD1" s="549"/>
      <c r="AE1" s="549"/>
      <c r="AF1" s="549"/>
      <c r="AG1" s="550"/>
      <c r="AH1" s="553" t="s">
        <v>96</v>
      </c>
      <c r="AI1" s="554"/>
      <c r="AJ1" s="554"/>
      <c r="AK1" s="554"/>
      <c r="AL1" s="554"/>
      <c r="AM1" s="554"/>
      <c r="AN1" s="554"/>
      <c r="AO1" s="554"/>
    </row>
    <row r="2" spans="1:52" x14ac:dyDescent="0.3">
      <c r="C2" s="35"/>
      <c r="E2" s="28"/>
      <c r="K2" s="48" t="s">
        <v>2</v>
      </c>
      <c r="L2" s="557" t="s">
        <v>219</v>
      </c>
      <c r="M2" s="559" t="s">
        <v>102</v>
      </c>
      <c r="N2" s="8" t="s">
        <v>3</v>
      </c>
      <c r="O2" s="8" t="s">
        <v>3</v>
      </c>
      <c r="P2" s="8" t="s">
        <v>3</v>
      </c>
      <c r="Q2" s="24" t="s">
        <v>2</v>
      </c>
      <c r="R2" s="9" t="s">
        <v>3</v>
      </c>
      <c r="S2" s="9" t="s">
        <v>2</v>
      </c>
      <c r="T2" s="5" t="s">
        <v>2</v>
      </c>
      <c r="U2" s="5" t="s">
        <v>2</v>
      </c>
      <c r="V2" s="10" t="s">
        <v>2</v>
      </c>
      <c r="W2" s="10" t="s">
        <v>3</v>
      </c>
      <c r="X2" s="11" t="s">
        <v>3</v>
      </c>
      <c r="Y2" s="11" t="s">
        <v>4</v>
      </c>
      <c r="Z2" s="11" t="s">
        <v>3</v>
      </c>
      <c r="AA2" s="11" t="s">
        <v>4</v>
      </c>
      <c r="AB2" s="12" t="s">
        <v>3</v>
      </c>
      <c r="AC2" s="12" t="s">
        <v>3</v>
      </c>
      <c r="AD2" s="12" t="s">
        <v>3</v>
      </c>
      <c r="AE2" s="12" t="s">
        <v>3</v>
      </c>
      <c r="AF2" s="12" t="s">
        <v>2</v>
      </c>
      <c r="AG2" s="6" t="s">
        <v>2</v>
      </c>
      <c r="AH2" s="25" t="s">
        <v>3</v>
      </c>
      <c r="AI2" s="25" t="s">
        <v>3</v>
      </c>
      <c r="AJ2" s="25" t="s">
        <v>3</v>
      </c>
      <c r="AK2" s="25" t="s">
        <v>3</v>
      </c>
      <c r="AL2" s="25" t="s">
        <v>3</v>
      </c>
      <c r="AM2" s="25" t="s">
        <v>3</v>
      </c>
      <c r="AN2" s="26" t="s">
        <v>3</v>
      </c>
      <c r="AO2" s="26" t="s">
        <v>3</v>
      </c>
    </row>
    <row r="3" spans="1:52" s="23" customFormat="1" ht="42" customHeight="1" x14ac:dyDescent="0.3">
      <c r="A3" s="21" t="s">
        <v>92</v>
      </c>
      <c r="B3" s="21" t="s">
        <v>5</v>
      </c>
      <c r="C3" s="21" t="s">
        <v>6</v>
      </c>
      <c r="D3" s="21" t="s">
        <v>7</v>
      </c>
      <c r="E3" s="21" t="s">
        <v>8</v>
      </c>
      <c r="F3" s="21" t="s">
        <v>9</v>
      </c>
      <c r="G3" s="30" t="s">
        <v>10</v>
      </c>
      <c r="H3" s="31" t="s">
        <v>11</v>
      </c>
      <c r="I3" s="21" t="s">
        <v>12</v>
      </c>
      <c r="J3" s="21" t="s">
        <v>56</v>
      </c>
      <c r="K3" s="49" t="s">
        <v>220</v>
      </c>
      <c r="L3" s="558"/>
      <c r="M3" s="558"/>
      <c r="N3" s="14" t="s">
        <v>14</v>
      </c>
      <c r="O3" s="14" t="s">
        <v>16</v>
      </c>
      <c r="P3" s="14" t="s">
        <v>15</v>
      </c>
      <c r="Q3" s="15" t="s">
        <v>23</v>
      </c>
      <c r="R3" s="16" t="s">
        <v>18</v>
      </c>
      <c r="S3" s="16" t="s">
        <v>213</v>
      </c>
      <c r="T3" s="16" t="s">
        <v>212</v>
      </c>
      <c r="U3" s="16" t="s">
        <v>214</v>
      </c>
      <c r="V3" s="17" t="s">
        <v>215</v>
      </c>
      <c r="W3" s="17" t="s">
        <v>93</v>
      </c>
      <c r="X3" s="18" t="s">
        <v>64</v>
      </c>
      <c r="Y3" s="18" t="s">
        <v>63</v>
      </c>
      <c r="Z3" s="18" t="s">
        <v>62</v>
      </c>
      <c r="AA3" s="18" t="s">
        <v>1225</v>
      </c>
      <c r="AB3" s="19" t="s">
        <v>60</v>
      </c>
      <c r="AC3" s="19" t="s">
        <v>199</v>
      </c>
      <c r="AD3" s="19" t="s">
        <v>218</v>
      </c>
      <c r="AE3" s="19" t="s">
        <v>216</v>
      </c>
      <c r="AF3" s="19" t="s">
        <v>217</v>
      </c>
      <c r="AG3" s="19" t="s">
        <v>55</v>
      </c>
      <c r="AH3" s="20" t="s">
        <v>95</v>
      </c>
      <c r="AI3" s="20" t="s">
        <v>97</v>
      </c>
      <c r="AJ3" s="20" t="s">
        <v>17</v>
      </c>
      <c r="AK3" s="20" t="s">
        <v>1405</v>
      </c>
      <c r="AL3" s="20" t="s">
        <v>866</v>
      </c>
      <c r="AM3" s="20" t="s">
        <v>1206</v>
      </c>
      <c r="AN3" s="21" t="s">
        <v>1406</v>
      </c>
      <c r="AO3" s="26" t="s">
        <v>1404</v>
      </c>
    </row>
    <row r="4" spans="1:52" s="100" customFormat="1" ht="24.9" customHeight="1" x14ac:dyDescent="0.3">
      <c r="B4" s="101"/>
      <c r="C4" s="102"/>
      <c r="D4" s="103"/>
      <c r="E4" s="103"/>
      <c r="F4" s="103"/>
      <c r="G4" s="104">
        <f>K4+SUM(M4:AO4)</f>
        <v>2205.9499999999998</v>
      </c>
      <c r="H4" s="105"/>
      <c r="I4" s="106"/>
      <c r="J4" s="107"/>
      <c r="K4" s="108">
        <f>G228</f>
        <v>4386.58</v>
      </c>
      <c r="L4" s="109">
        <f>L228-M4</f>
        <v>8946.35</v>
      </c>
      <c r="M4" s="110">
        <f>-SUM(M5:M229)</f>
        <v>-2000</v>
      </c>
      <c r="N4" s="111">
        <f>-SUM(N5:N229)</f>
        <v>-1898.7600000000004</v>
      </c>
      <c r="O4" s="111">
        <f>-SUM(O5:O229)</f>
        <v>-705.2</v>
      </c>
      <c r="P4" s="111">
        <f>-SUM(P5:P229)</f>
        <v>-1480</v>
      </c>
      <c r="Q4" s="111">
        <f>SUM(Q5:Q229)</f>
        <v>1800</v>
      </c>
      <c r="R4" s="112">
        <f>-SUM(R5:R229)</f>
        <v>-2896</v>
      </c>
      <c r="S4" s="112">
        <f>SUM(S5:S229)</f>
        <v>2819</v>
      </c>
      <c r="T4" s="112">
        <f>SUM(T5:T229)</f>
        <v>4133</v>
      </c>
      <c r="U4" s="112">
        <f>SUM(U5:U229)</f>
        <v>180</v>
      </c>
      <c r="V4" s="117">
        <f>SUM(V5:V229)</f>
        <v>450</v>
      </c>
      <c r="W4" s="117">
        <f>-SUM(W5:W229)</f>
        <v>-665</v>
      </c>
      <c r="X4" s="113">
        <f>-SUM(X5:X229)</f>
        <v>-1565.81</v>
      </c>
      <c r="Y4" s="113">
        <f>SUM(Y5:Y229)</f>
        <v>2722.9</v>
      </c>
      <c r="Z4" s="113">
        <f>-SUM(Z5:Z229)</f>
        <v>-791.99</v>
      </c>
      <c r="AA4" s="113">
        <f>SUM(AA5:AA229)</f>
        <v>1320.5</v>
      </c>
      <c r="AB4" s="114">
        <f>-SUM(AB5:AB229)</f>
        <v>-109.10000000000001</v>
      </c>
      <c r="AC4" s="115">
        <f>-SUM(AC5:AC229)</f>
        <v>-2030.66</v>
      </c>
      <c r="AD4" s="115">
        <f>-SUM(AD5:AD229)</f>
        <v>-202.48999999999998</v>
      </c>
      <c r="AE4" s="114">
        <f>-SUM(AE5:AE229)</f>
        <v>-516.79999999999995</v>
      </c>
      <c r="AF4" s="114">
        <f>SUM(AF5:AF229)</f>
        <v>497</v>
      </c>
      <c r="AG4" s="114">
        <f>SUM(AG5:AG229)</f>
        <v>990</v>
      </c>
      <c r="AH4" s="116">
        <f t="shared" ref="AH4:AO4" si="0">-SUM(AH5:AH229)</f>
        <v>-34.130000000000003</v>
      </c>
      <c r="AI4" s="116">
        <f t="shared" si="0"/>
        <v>-35.82</v>
      </c>
      <c r="AJ4" s="116">
        <f t="shared" si="0"/>
        <v>-241.01999999999998</v>
      </c>
      <c r="AK4" s="116">
        <f t="shared" si="0"/>
        <v>-174.42</v>
      </c>
      <c r="AL4" s="116">
        <f t="shared" si="0"/>
        <v>-135</v>
      </c>
      <c r="AM4" s="116">
        <f t="shared" si="0"/>
        <v>-488.72</v>
      </c>
      <c r="AN4" s="116">
        <f t="shared" si="0"/>
        <v>-352</v>
      </c>
      <c r="AO4" s="116">
        <f t="shared" si="0"/>
        <v>-770.11</v>
      </c>
    </row>
    <row r="5" spans="1:52" s="60" customFormat="1" ht="21" customHeight="1" x14ac:dyDescent="0.3">
      <c r="B5" s="61"/>
      <c r="C5" s="62"/>
      <c r="D5" s="63"/>
      <c r="E5" s="63"/>
      <c r="F5" s="63"/>
      <c r="G5" s="64"/>
      <c r="H5" s="65"/>
      <c r="I5" s="66"/>
      <c r="J5" s="67"/>
      <c r="K5" s="68"/>
      <c r="L5" s="69"/>
      <c r="M5" s="70"/>
      <c r="N5" s="68"/>
      <c r="O5" s="68"/>
      <c r="P5" s="68"/>
      <c r="Q5" s="68"/>
      <c r="R5" s="68"/>
      <c r="S5" s="68"/>
      <c r="T5" s="68"/>
      <c r="U5" s="68"/>
      <c r="V5" s="70"/>
      <c r="W5" s="70"/>
      <c r="X5" s="68"/>
      <c r="Y5" s="68"/>
      <c r="Z5" s="68"/>
      <c r="AA5" s="68"/>
      <c r="AB5" s="68"/>
      <c r="AC5" s="70"/>
      <c r="AD5" s="70"/>
      <c r="AE5" s="68"/>
      <c r="AF5" s="68"/>
      <c r="AG5" s="68"/>
      <c r="AH5" s="70"/>
      <c r="AI5" s="70"/>
      <c r="AJ5" s="70"/>
      <c r="AK5" s="70"/>
      <c r="AL5" s="70"/>
      <c r="AM5" s="70"/>
      <c r="AN5" s="70"/>
      <c r="AO5" s="416"/>
    </row>
    <row r="6" spans="1:52" ht="21" customHeight="1" x14ac:dyDescent="0.2">
      <c r="A6" s="222" t="str">
        <f t="shared" ref="A6:A16" si="1">IF(ABS(SUM(L6:AO6))&lt;&gt;SUM(E6:F6),"A Distribuer","Ok")</f>
        <v>Ok</v>
      </c>
      <c r="B6" s="221"/>
      <c r="C6" s="21"/>
      <c r="D6" s="13"/>
      <c r="E6" s="13"/>
      <c r="F6" s="13"/>
      <c r="G6" s="466"/>
      <c r="H6" s="467"/>
      <c r="I6" s="37"/>
      <c r="J6" s="46"/>
      <c r="K6" s="468"/>
      <c r="L6" s="469"/>
      <c r="M6" s="42"/>
      <c r="N6" s="468"/>
      <c r="O6" s="468"/>
      <c r="P6" s="468"/>
      <c r="Q6" s="468"/>
      <c r="R6" s="468"/>
      <c r="S6" s="468"/>
      <c r="T6" s="468"/>
      <c r="U6" s="468"/>
      <c r="V6" s="42"/>
      <c r="W6" s="42"/>
      <c r="X6" s="468"/>
      <c r="Y6" s="468"/>
      <c r="Z6" s="468"/>
      <c r="AA6" s="468"/>
      <c r="AB6" s="468"/>
      <c r="AC6" s="42"/>
      <c r="AD6" s="42"/>
      <c r="AE6" s="468"/>
      <c r="AF6" s="468"/>
      <c r="AG6" s="468"/>
      <c r="AH6" s="42"/>
      <c r="AI6" s="42"/>
      <c r="AJ6" s="42"/>
      <c r="AK6" s="42"/>
      <c r="AL6" s="42"/>
      <c r="AM6" s="42"/>
      <c r="AN6" s="42"/>
      <c r="AO6" s="26"/>
    </row>
    <row r="7" spans="1:52" s="481" customFormat="1" ht="21" customHeight="1" x14ac:dyDescent="0.25">
      <c r="A7" s="471"/>
      <c r="B7" s="472"/>
      <c r="C7" s="473"/>
      <c r="D7" s="470"/>
      <c r="E7" s="156"/>
      <c r="F7" s="470"/>
      <c r="G7" s="485"/>
      <c r="H7" s="474"/>
      <c r="I7" s="475"/>
      <c r="J7" s="476"/>
      <c r="K7" s="477"/>
      <c r="L7" s="478"/>
      <c r="M7" s="479"/>
      <c r="N7" s="477"/>
      <c r="O7" s="477"/>
      <c r="P7" s="477"/>
      <c r="Q7" s="477"/>
      <c r="R7" s="477"/>
      <c r="S7" s="477"/>
      <c r="T7" s="477"/>
      <c r="U7" s="477"/>
      <c r="V7" s="479"/>
      <c r="W7" s="479"/>
      <c r="X7" s="477"/>
      <c r="Y7" s="477"/>
      <c r="Z7" s="477"/>
      <c r="AA7" s="477"/>
      <c r="AB7" s="477"/>
      <c r="AC7" s="479"/>
      <c r="AD7" s="479"/>
      <c r="AE7" s="477"/>
      <c r="AF7" s="477"/>
      <c r="AG7" s="477"/>
      <c r="AH7" s="479"/>
      <c r="AI7" s="479"/>
      <c r="AJ7" s="479"/>
      <c r="AK7" s="479"/>
      <c r="AL7" s="479"/>
      <c r="AM7" s="479"/>
      <c r="AN7" s="479"/>
      <c r="AO7" s="480"/>
    </row>
    <row r="8" spans="1:52" s="481" customFormat="1" ht="21" customHeight="1" x14ac:dyDescent="0.25">
      <c r="A8" s="471"/>
      <c r="B8" s="472"/>
      <c r="C8" s="473"/>
      <c r="D8" s="470"/>
      <c r="E8" s="156"/>
      <c r="F8" s="470"/>
      <c r="G8" s="485"/>
      <c r="H8" s="474"/>
      <c r="I8" s="475"/>
      <c r="J8" s="476"/>
      <c r="K8" s="477"/>
      <c r="L8" s="482"/>
      <c r="M8" s="479"/>
      <c r="N8" s="479"/>
      <c r="O8" s="479"/>
      <c r="P8" s="479"/>
      <c r="Q8" s="479"/>
      <c r="R8" s="479"/>
      <c r="S8" s="479"/>
      <c r="T8" s="479"/>
      <c r="U8" s="479"/>
      <c r="V8" s="479"/>
      <c r="W8" s="479"/>
      <c r="X8" s="479"/>
      <c r="Y8" s="479"/>
      <c r="Z8" s="479"/>
      <c r="AA8" s="479"/>
      <c r="AB8" s="479"/>
      <c r="AC8" s="479"/>
      <c r="AD8" s="479"/>
      <c r="AE8" s="479"/>
      <c r="AF8" s="479"/>
      <c r="AG8" s="479"/>
      <c r="AH8" s="479"/>
      <c r="AI8" s="479"/>
      <c r="AJ8" s="479"/>
      <c r="AK8" s="479"/>
      <c r="AL8" s="479"/>
      <c r="AM8" s="479"/>
      <c r="AN8" s="479"/>
      <c r="AO8" s="483"/>
      <c r="AP8" s="484"/>
      <c r="AQ8" s="484"/>
      <c r="AR8" s="484"/>
      <c r="AS8" s="484"/>
      <c r="AT8" s="484"/>
      <c r="AU8" s="484"/>
      <c r="AV8" s="484"/>
      <c r="AW8" s="484"/>
      <c r="AX8" s="484"/>
      <c r="AY8" s="484"/>
      <c r="AZ8" s="484"/>
    </row>
    <row r="9" spans="1:52" ht="24.9" customHeight="1" x14ac:dyDescent="0.25">
      <c r="A9" s="222" t="str">
        <f t="shared" ref="A9" si="2">IF(ABS(SUM(L9:AO9))&lt;&gt;SUM(E9:F9),"A Distribuer","Ok")</f>
        <v>Ok</v>
      </c>
      <c r="B9" s="36"/>
      <c r="C9" s="158"/>
      <c r="D9" s="73" t="s">
        <v>1510</v>
      </c>
      <c r="E9" s="156">
        <v>241.87</v>
      </c>
      <c r="F9" s="156"/>
      <c r="G9" s="225">
        <f t="shared" ref="G9:G14" si="3">G10-E9+F9</f>
        <v>2205.9500000000021</v>
      </c>
      <c r="H9" s="32"/>
      <c r="I9" s="470" t="s">
        <v>1511</v>
      </c>
      <c r="J9" s="47"/>
      <c r="K9" s="43"/>
      <c r="L9" s="38"/>
      <c r="M9" s="71"/>
      <c r="N9" s="39">
        <v>176.27</v>
      </c>
      <c r="O9" s="39">
        <v>65.599999999999994</v>
      </c>
      <c r="P9" s="39"/>
      <c r="Q9" s="72"/>
      <c r="R9" s="44"/>
      <c r="S9" s="44"/>
      <c r="T9" s="44"/>
      <c r="U9" s="44"/>
      <c r="V9" s="40"/>
      <c r="W9" s="40"/>
      <c r="X9" s="45"/>
      <c r="Y9" s="45"/>
      <c r="Z9" s="45"/>
      <c r="AA9" s="45"/>
      <c r="AB9" s="41"/>
      <c r="AC9" s="41"/>
      <c r="AD9" s="41"/>
      <c r="AE9" s="41"/>
      <c r="AF9" s="41"/>
      <c r="AG9" s="41"/>
      <c r="AH9" s="42"/>
      <c r="AI9" s="42"/>
      <c r="AJ9" s="42"/>
      <c r="AK9" s="42"/>
      <c r="AL9" s="42"/>
      <c r="AM9" s="42"/>
      <c r="AN9" s="37"/>
      <c r="AO9" s="26"/>
    </row>
    <row r="10" spans="1:52" s="481" customFormat="1" ht="21" customHeight="1" x14ac:dyDescent="0.25">
      <c r="A10" s="471" t="str">
        <f t="shared" si="1"/>
        <v>Ok</v>
      </c>
      <c r="B10" s="472"/>
      <c r="C10" s="473"/>
      <c r="D10" s="470" t="s">
        <v>1543</v>
      </c>
      <c r="E10" s="156">
        <v>60.47</v>
      </c>
      <c r="F10" s="470"/>
      <c r="G10" s="225">
        <f t="shared" si="3"/>
        <v>2447.820000000002</v>
      </c>
      <c r="H10" s="474"/>
      <c r="I10" s="475" t="s">
        <v>1544</v>
      </c>
      <c r="J10" s="476"/>
      <c r="K10" s="477"/>
      <c r="L10" s="482"/>
      <c r="M10" s="479"/>
      <c r="N10" s="479">
        <v>44.07</v>
      </c>
      <c r="O10" s="479">
        <v>16.399999999999999</v>
      </c>
      <c r="P10" s="479"/>
      <c r="Q10" s="479"/>
      <c r="R10" s="479"/>
      <c r="S10" s="479"/>
      <c r="T10" s="479"/>
      <c r="U10" s="479"/>
      <c r="V10" s="479"/>
      <c r="W10" s="479"/>
      <c r="X10" s="479"/>
      <c r="Y10" s="479"/>
      <c r="Z10" s="479"/>
      <c r="AA10" s="479"/>
      <c r="AB10" s="479"/>
      <c r="AC10" s="479"/>
      <c r="AD10" s="479"/>
      <c r="AE10" s="479"/>
      <c r="AF10" s="479"/>
      <c r="AG10" s="479"/>
      <c r="AH10" s="479"/>
      <c r="AI10" s="479"/>
      <c r="AJ10" s="479"/>
      <c r="AK10" s="479"/>
      <c r="AL10" s="479"/>
      <c r="AM10" s="479"/>
      <c r="AN10" s="479"/>
      <c r="AO10" s="483"/>
      <c r="AP10" s="484"/>
      <c r="AQ10" s="484"/>
      <c r="AR10" s="484"/>
      <c r="AS10" s="484"/>
      <c r="AT10" s="484"/>
      <c r="AU10" s="484"/>
      <c r="AV10" s="484"/>
      <c r="AW10" s="484"/>
      <c r="AX10" s="484"/>
      <c r="AY10" s="484"/>
      <c r="AZ10" s="484"/>
    </row>
    <row r="11" spans="1:52" ht="41.4" x14ac:dyDescent="0.25">
      <c r="A11" s="222" t="str">
        <f>IF(ABS(SUM(L11:AO11))&lt;&gt;SUM(E11:F11),"A Distribuer","Ok")</f>
        <v>Ok</v>
      </c>
      <c r="B11" s="36"/>
      <c r="C11" s="490">
        <v>45887</v>
      </c>
      <c r="D11" s="488" t="s">
        <v>1549</v>
      </c>
      <c r="E11" s="489">
        <v>119</v>
      </c>
      <c r="F11" s="156"/>
      <c r="G11" s="225">
        <f t="shared" si="3"/>
        <v>2508.2900000000018</v>
      </c>
      <c r="H11" s="32"/>
      <c r="I11" s="470" t="s">
        <v>1548</v>
      </c>
      <c r="J11" s="47"/>
      <c r="K11" s="43"/>
      <c r="L11" s="38"/>
      <c r="M11" s="71"/>
      <c r="N11" s="39"/>
      <c r="O11" s="39"/>
      <c r="P11" s="39">
        <v>119</v>
      </c>
      <c r="Q11" s="72"/>
      <c r="R11" s="44"/>
      <c r="S11" s="44"/>
      <c r="T11" s="44"/>
      <c r="U11" s="44"/>
      <c r="V11" s="40"/>
      <c r="W11" s="40"/>
      <c r="X11" s="45"/>
      <c r="Y11" s="45"/>
      <c r="Z11" s="45"/>
      <c r="AA11" s="45"/>
      <c r="AB11" s="41"/>
      <c r="AC11" s="41"/>
      <c r="AD11" s="41"/>
      <c r="AE11" s="41"/>
      <c r="AF11" s="41"/>
      <c r="AG11" s="41"/>
      <c r="AH11" s="42"/>
      <c r="AI11" s="42"/>
      <c r="AJ11" s="42"/>
      <c r="AK11" s="42"/>
      <c r="AL11" s="42"/>
      <c r="AM11" s="42"/>
      <c r="AN11" s="37"/>
      <c r="AO11" s="26"/>
    </row>
    <row r="12" spans="1:52" ht="24.9" customHeight="1" x14ac:dyDescent="0.25">
      <c r="A12" s="222" t="str">
        <f>IF(ABS(SUM(L12:AO12))&lt;&gt;SUM(E12:F12),"A Distribuer","Ok")</f>
        <v>Ok</v>
      </c>
      <c r="B12" s="36"/>
      <c r="C12" s="158">
        <v>45873</v>
      </c>
      <c r="D12" s="73" t="s">
        <v>1208</v>
      </c>
      <c r="E12" s="156">
        <v>50</v>
      </c>
      <c r="F12" s="156"/>
      <c r="G12" s="225">
        <f t="shared" si="3"/>
        <v>2627.2900000000018</v>
      </c>
      <c r="H12" s="32"/>
      <c r="I12" s="470" t="s">
        <v>1212</v>
      </c>
      <c r="J12" s="47"/>
      <c r="K12" s="43"/>
      <c r="L12" s="38"/>
      <c r="M12" s="71"/>
      <c r="N12" s="39"/>
      <c r="O12" s="39"/>
      <c r="P12" s="39"/>
      <c r="Q12" s="72"/>
      <c r="R12" s="44"/>
      <c r="S12" s="44"/>
      <c r="T12" s="44"/>
      <c r="U12" s="44"/>
      <c r="V12" s="40"/>
      <c r="W12" s="40"/>
      <c r="X12" s="45"/>
      <c r="Y12" s="45"/>
      <c r="Z12" s="45"/>
      <c r="AA12" s="45"/>
      <c r="AB12" s="41"/>
      <c r="AC12" s="41"/>
      <c r="AD12" s="41"/>
      <c r="AE12" s="41"/>
      <c r="AF12" s="41"/>
      <c r="AG12" s="41"/>
      <c r="AH12" s="42"/>
      <c r="AI12" s="42"/>
      <c r="AJ12" s="42"/>
      <c r="AK12" s="42"/>
      <c r="AL12" s="42">
        <v>50</v>
      </c>
      <c r="AM12" s="42"/>
      <c r="AN12" s="37"/>
      <c r="AO12" s="26"/>
    </row>
    <row r="13" spans="1:52" s="481" customFormat="1" ht="21" customHeight="1" x14ac:dyDescent="0.25">
      <c r="A13" s="471" t="str">
        <f t="shared" ref="A13" si="4">IF(ABS(SUM(L13:AO13))&lt;&gt;SUM(E13:F13),"A Distribuer","Ok")</f>
        <v>Ok</v>
      </c>
      <c r="B13" s="472"/>
      <c r="C13" s="158">
        <v>45873</v>
      </c>
      <c r="D13" s="73" t="s">
        <v>1537</v>
      </c>
      <c r="E13" s="156">
        <v>32</v>
      </c>
      <c r="F13" s="470"/>
      <c r="G13" s="225">
        <f t="shared" si="3"/>
        <v>2677.2900000000018</v>
      </c>
      <c r="H13" s="474"/>
      <c r="I13" s="475" t="s">
        <v>1538</v>
      </c>
      <c r="J13" s="476"/>
      <c r="K13" s="477"/>
      <c r="L13" s="482"/>
      <c r="M13" s="479"/>
      <c r="N13" s="479"/>
      <c r="O13" s="479"/>
      <c r="P13" s="479"/>
      <c r="Q13" s="479"/>
      <c r="R13" s="479"/>
      <c r="S13" s="479"/>
      <c r="T13" s="479"/>
      <c r="U13" s="479"/>
      <c r="V13" s="479"/>
      <c r="W13" s="479"/>
      <c r="X13" s="479"/>
      <c r="Y13" s="479"/>
      <c r="Z13" s="479"/>
      <c r="AA13" s="479"/>
      <c r="AB13" s="479"/>
      <c r="AC13" s="479"/>
      <c r="AD13" s="479"/>
      <c r="AE13" s="479"/>
      <c r="AF13" s="479"/>
      <c r="AG13" s="479"/>
      <c r="AH13" s="479"/>
      <c r="AI13" s="479"/>
      <c r="AJ13" s="479"/>
      <c r="AK13" s="479"/>
      <c r="AL13" s="479"/>
      <c r="AM13" s="479"/>
      <c r="AN13" s="479">
        <v>32</v>
      </c>
      <c r="AO13" s="483"/>
      <c r="AP13" s="484"/>
      <c r="AQ13" s="484"/>
      <c r="AR13" s="484"/>
      <c r="AS13" s="484"/>
      <c r="AT13" s="484"/>
      <c r="AU13" s="484"/>
      <c r="AV13" s="484"/>
      <c r="AW13" s="484"/>
      <c r="AX13" s="484"/>
      <c r="AY13" s="484"/>
      <c r="AZ13" s="484"/>
    </row>
    <row r="14" spans="1:52" s="481" customFormat="1" ht="21" customHeight="1" x14ac:dyDescent="0.25">
      <c r="A14" s="471" t="str">
        <f>IF(ABS(SUM(L14:AO14))&lt;&gt;SUM(E14:F14),"A Distribuer","Ok")</f>
        <v>Ok</v>
      </c>
      <c r="B14" s="472"/>
      <c r="C14" s="158">
        <v>45868</v>
      </c>
      <c r="D14" s="73" t="s">
        <v>1547</v>
      </c>
      <c r="E14" s="156">
        <v>40</v>
      </c>
      <c r="F14" s="470"/>
      <c r="G14" s="225">
        <f t="shared" si="3"/>
        <v>2709.2900000000018</v>
      </c>
      <c r="H14" s="474"/>
      <c r="I14" s="475" t="s">
        <v>1550</v>
      </c>
      <c r="J14" s="476"/>
      <c r="K14" s="477"/>
      <c r="L14" s="482"/>
      <c r="M14" s="479"/>
      <c r="N14" s="479"/>
      <c r="O14" s="479"/>
      <c r="P14" s="479"/>
      <c r="Q14" s="479"/>
      <c r="R14" s="479"/>
      <c r="S14" s="479"/>
      <c r="T14" s="479"/>
      <c r="U14" s="479"/>
      <c r="V14" s="479"/>
      <c r="W14" s="479"/>
      <c r="X14" s="479"/>
      <c r="Y14" s="479"/>
      <c r="Z14" s="479"/>
      <c r="AA14" s="479"/>
      <c r="AB14" s="479"/>
      <c r="AC14" s="479"/>
      <c r="AD14" s="479"/>
      <c r="AE14" s="479"/>
      <c r="AF14" s="479"/>
      <c r="AG14" s="479"/>
      <c r="AH14" s="479"/>
      <c r="AI14" s="479"/>
      <c r="AJ14" s="479"/>
      <c r="AK14" s="479"/>
      <c r="AL14" s="479"/>
      <c r="AM14" s="479"/>
      <c r="AN14" s="479">
        <v>40</v>
      </c>
      <c r="AO14" s="483"/>
      <c r="AP14" s="484"/>
      <c r="AQ14" s="484"/>
      <c r="AR14" s="484"/>
      <c r="AS14" s="484"/>
      <c r="AT14" s="484"/>
      <c r="AU14" s="484"/>
      <c r="AV14" s="484"/>
      <c r="AW14" s="484"/>
      <c r="AX14" s="484"/>
      <c r="AY14" s="484"/>
      <c r="AZ14" s="484"/>
    </row>
    <row r="15" spans="1:52" s="481" customFormat="1" ht="21" customHeight="1" x14ac:dyDescent="0.25">
      <c r="A15" s="471" t="str">
        <f>IF(ABS(SUM(L15:AO15))&lt;&gt;SUM(E15:F15),"A Distribuer","Ok")</f>
        <v>Ok</v>
      </c>
      <c r="B15" s="472"/>
      <c r="C15" s="158">
        <v>45868</v>
      </c>
      <c r="D15" s="470" t="s">
        <v>1546</v>
      </c>
      <c r="E15" s="156">
        <v>16.68</v>
      </c>
      <c r="F15" s="470"/>
      <c r="G15" s="225">
        <f t="shared" ref="G15:G22" si="5">G16-E15+F15</f>
        <v>2749.2900000000018</v>
      </c>
      <c r="H15" s="474"/>
      <c r="I15" s="475" t="s">
        <v>1545</v>
      </c>
      <c r="J15" s="476"/>
      <c r="K15" s="477"/>
      <c r="L15" s="482"/>
      <c r="M15" s="479"/>
      <c r="N15" s="479"/>
      <c r="O15" s="479"/>
      <c r="P15" s="479"/>
      <c r="Q15" s="479"/>
      <c r="R15" s="479"/>
      <c r="S15" s="479"/>
      <c r="T15" s="479"/>
      <c r="U15" s="479"/>
      <c r="V15" s="479"/>
      <c r="W15" s="479"/>
      <c r="X15" s="479"/>
      <c r="Y15" s="479"/>
      <c r="Z15" s="479"/>
      <c r="AA15" s="479"/>
      <c r="AB15" s="479"/>
      <c r="AC15" s="479"/>
      <c r="AD15" s="479"/>
      <c r="AE15" s="479"/>
      <c r="AF15" s="479"/>
      <c r="AG15" s="479"/>
      <c r="AH15" s="479"/>
      <c r="AI15" s="479"/>
      <c r="AJ15" s="479">
        <v>16.68</v>
      </c>
      <c r="AK15" s="479"/>
      <c r="AL15" s="479"/>
      <c r="AM15" s="479"/>
      <c r="AN15" s="479"/>
      <c r="AO15" s="483"/>
      <c r="AP15" s="484"/>
      <c r="AQ15" s="484"/>
      <c r="AR15" s="484"/>
      <c r="AS15" s="484"/>
      <c r="AT15" s="484"/>
      <c r="AU15" s="484"/>
      <c r="AV15" s="484"/>
      <c r="AW15" s="484"/>
      <c r="AX15" s="484"/>
      <c r="AY15" s="484"/>
      <c r="AZ15" s="484"/>
    </row>
    <row r="16" spans="1:52" s="481" customFormat="1" ht="31.8" customHeight="1" x14ac:dyDescent="0.25">
      <c r="A16" s="471" t="str">
        <f t="shared" si="1"/>
        <v>Ok</v>
      </c>
      <c r="B16" s="472"/>
      <c r="C16" s="487">
        <v>45859</v>
      </c>
      <c r="D16" s="73" t="s">
        <v>1535</v>
      </c>
      <c r="E16" s="156">
        <v>26.4</v>
      </c>
      <c r="F16" s="470"/>
      <c r="G16" s="225">
        <f t="shared" si="5"/>
        <v>2765.9700000000016</v>
      </c>
      <c r="H16" s="474"/>
      <c r="I16" s="475" t="s">
        <v>1536</v>
      </c>
      <c r="J16" s="476"/>
      <c r="K16" s="477"/>
      <c r="L16" s="482"/>
      <c r="M16" s="479"/>
      <c r="N16" s="479"/>
      <c r="O16" s="479"/>
      <c r="P16" s="479"/>
      <c r="Q16" s="479"/>
      <c r="R16" s="479"/>
      <c r="S16" s="479"/>
      <c r="T16" s="479"/>
      <c r="U16" s="479"/>
      <c r="V16" s="479"/>
      <c r="W16" s="479"/>
      <c r="X16" s="479"/>
      <c r="Y16" s="479"/>
      <c r="Z16" s="479"/>
      <c r="AA16" s="479"/>
      <c r="AB16" s="479"/>
      <c r="AC16" s="479"/>
      <c r="AD16" s="479"/>
      <c r="AE16" s="479"/>
      <c r="AF16" s="479"/>
      <c r="AG16" s="479"/>
      <c r="AH16" s="479"/>
      <c r="AI16" s="479"/>
      <c r="AJ16" s="479"/>
      <c r="AK16" s="479">
        <v>26.4</v>
      </c>
      <c r="AL16" s="479"/>
      <c r="AM16" s="479"/>
      <c r="AN16" s="479"/>
      <c r="AO16" s="483"/>
      <c r="AP16" s="484"/>
      <c r="AQ16" s="484"/>
      <c r="AR16" s="484"/>
      <c r="AS16" s="484"/>
      <c r="AT16" s="484"/>
      <c r="AU16" s="484"/>
      <c r="AV16" s="484"/>
      <c r="AW16" s="484"/>
      <c r="AX16" s="484"/>
      <c r="AY16" s="484"/>
      <c r="AZ16" s="484"/>
    </row>
    <row r="17" spans="1:52" s="481" customFormat="1" ht="21" customHeight="1" x14ac:dyDescent="0.25">
      <c r="A17" s="471" t="str">
        <f>IF(ABS(SUM(L17:AO17))&lt;&gt;SUM(E17:F17),"A Distribuer","Ok")</f>
        <v>Ok</v>
      </c>
      <c r="B17" s="472"/>
      <c r="C17" s="487">
        <v>45853</v>
      </c>
      <c r="D17" s="470" t="s">
        <v>1533</v>
      </c>
      <c r="E17" s="156">
        <v>181.4</v>
      </c>
      <c r="F17" s="470"/>
      <c r="G17" s="225">
        <f t="shared" si="5"/>
        <v>2792.3700000000017</v>
      </c>
      <c r="H17" s="474"/>
      <c r="I17" s="475" t="s">
        <v>1534</v>
      </c>
      <c r="J17" s="476"/>
      <c r="K17" s="477"/>
      <c r="L17" s="482"/>
      <c r="M17" s="479"/>
      <c r="N17" s="479">
        <v>132.19999999999999</v>
      </c>
      <c r="O17" s="479">
        <v>49.2</v>
      </c>
      <c r="P17" s="479"/>
      <c r="Q17" s="479"/>
      <c r="R17" s="479"/>
      <c r="S17" s="479"/>
      <c r="T17" s="479"/>
      <c r="U17" s="479"/>
      <c r="V17" s="479"/>
      <c r="W17" s="479"/>
      <c r="X17" s="479"/>
      <c r="Y17" s="479"/>
      <c r="Z17" s="479"/>
      <c r="AA17" s="479"/>
      <c r="AB17" s="479"/>
      <c r="AC17" s="479"/>
      <c r="AD17" s="479"/>
      <c r="AE17" s="479"/>
      <c r="AF17" s="479"/>
      <c r="AG17" s="479"/>
      <c r="AH17" s="479"/>
      <c r="AI17" s="479"/>
      <c r="AJ17" s="479"/>
      <c r="AK17" s="479"/>
      <c r="AL17" s="479"/>
      <c r="AM17" s="479"/>
      <c r="AN17" s="479"/>
      <c r="AO17" s="483"/>
      <c r="AP17" s="484"/>
      <c r="AQ17" s="484"/>
      <c r="AR17" s="484"/>
      <c r="AS17" s="484"/>
      <c r="AT17" s="484"/>
      <c r="AU17" s="484"/>
      <c r="AV17" s="484"/>
      <c r="AW17" s="484"/>
      <c r="AX17" s="484"/>
      <c r="AY17" s="484"/>
      <c r="AZ17" s="484"/>
    </row>
    <row r="18" spans="1:52" s="481" customFormat="1" ht="41.4" x14ac:dyDescent="0.25">
      <c r="A18" s="222" t="str">
        <f>IF(ABS(SUM(L18:AO18))&lt;&gt;SUM(E18:F18),"A Distribuer","Ok")</f>
        <v>Ok</v>
      </c>
      <c r="B18" s="472"/>
      <c r="C18" s="487">
        <v>45853</v>
      </c>
      <c r="D18" s="486" t="s">
        <v>1541</v>
      </c>
      <c r="E18" s="156">
        <v>158</v>
      </c>
      <c r="F18" s="470"/>
      <c r="G18" s="225">
        <f t="shared" si="5"/>
        <v>2973.7700000000018</v>
      </c>
      <c r="H18" s="474"/>
      <c r="I18" s="475" t="s">
        <v>1542</v>
      </c>
      <c r="J18" s="476"/>
      <c r="K18" s="477"/>
      <c r="L18" s="482"/>
      <c r="M18" s="479"/>
      <c r="N18" s="479"/>
      <c r="O18" s="479"/>
      <c r="P18" s="479">
        <v>158</v>
      </c>
      <c r="Q18" s="479"/>
      <c r="R18" s="479"/>
      <c r="S18" s="479"/>
      <c r="T18" s="479"/>
      <c r="U18" s="479"/>
      <c r="V18" s="479"/>
      <c r="W18" s="479"/>
      <c r="X18" s="479"/>
      <c r="Y18" s="479"/>
      <c r="Z18" s="479"/>
      <c r="AA18" s="479"/>
      <c r="AB18" s="479"/>
      <c r="AC18" s="479"/>
      <c r="AD18" s="479"/>
      <c r="AE18" s="479"/>
      <c r="AF18" s="479"/>
      <c r="AG18" s="479"/>
      <c r="AH18" s="479"/>
      <c r="AI18" s="479"/>
      <c r="AJ18" s="479"/>
      <c r="AK18" s="479"/>
      <c r="AL18" s="479"/>
      <c r="AM18" s="479"/>
      <c r="AN18" s="479"/>
      <c r="AO18" s="483"/>
      <c r="AP18" s="484"/>
      <c r="AQ18" s="484"/>
      <c r="AR18" s="484"/>
      <c r="AS18" s="484"/>
      <c r="AT18" s="484"/>
      <c r="AU18" s="484"/>
      <c r="AV18" s="484"/>
      <c r="AW18" s="484"/>
      <c r="AX18" s="484"/>
      <c r="AY18" s="484"/>
      <c r="AZ18" s="484"/>
    </row>
    <row r="19" spans="1:52" ht="24.9" customHeight="1" x14ac:dyDescent="0.25">
      <c r="A19" s="222" t="str">
        <f>IF(ABS(SUM(L19:AO19))&lt;&gt;SUM(E19:F19),"A Distribuer","Ok")</f>
        <v>Ok</v>
      </c>
      <c r="B19" s="36"/>
      <c r="C19" s="158">
        <v>45853</v>
      </c>
      <c r="D19" s="73" t="s">
        <v>1528</v>
      </c>
      <c r="E19" s="156">
        <v>67.87</v>
      </c>
      <c r="F19" s="156"/>
      <c r="G19" s="225">
        <f t="shared" si="5"/>
        <v>3131.7700000000018</v>
      </c>
      <c r="H19" s="32"/>
      <c r="I19" s="13" t="s">
        <v>1529</v>
      </c>
      <c r="J19" s="47"/>
      <c r="K19" s="43"/>
      <c r="L19" s="38"/>
      <c r="M19" s="71"/>
      <c r="N19" s="39"/>
      <c r="O19" s="39"/>
      <c r="P19" s="39"/>
      <c r="Q19" s="72"/>
      <c r="R19" s="44"/>
      <c r="S19" s="44"/>
      <c r="T19" s="44"/>
      <c r="U19" s="44"/>
      <c r="V19" s="40"/>
      <c r="W19" s="40"/>
      <c r="X19" s="45"/>
      <c r="Y19" s="45"/>
      <c r="Z19" s="45"/>
      <c r="AA19" s="45"/>
      <c r="AB19" s="41"/>
      <c r="AC19" s="41"/>
      <c r="AD19" s="41"/>
      <c r="AE19" s="41"/>
      <c r="AF19" s="41"/>
      <c r="AG19" s="41"/>
      <c r="AH19" s="42"/>
      <c r="AI19" s="42"/>
      <c r="AJ19" s="42"/>
      <c r="AK19" s="42"/>
      <c r="AL19" s="42"/>
      <c r="AM19" s="42"/>
      <c r="AN19" s="37"/>
      <c r="AO19" s="26">
        <v>67.87</v>
      </c>
    </row>
    <row r="20" spans="1:52" ht="24.9" customHeight="1" x14ac:dyDescent="0.25">
      <c r="A20" s="222" t="str">
        <f t="shared" ref="A20:A21" si="6">IF(ABS(SUM(L20:AO20))&lt;&gt;SUM(E20:F20),"A Distribuer","Ok")</f>
        <v>Ok</v>
      </c>
      <c r="B20" s="36"/>
      <c r="C20" s="158">
        <v>45848</v>
      </c>
      <c r="D20" s="73" t="s">
        <v>1539</v>
      </c>
      <c r="E20" s="156">
        <v>3.75</v>
      </c>
      <c r="F20" s="156"/>
      <c r="G20" s="225">
        <f t="shared" si="5"/>
        <v>3199.6400000000017</v>
      </c>
      <c r="H20" s="32"/>
      <c r="I20" s="13" t="s">
        <v>1540</v>
      </c>
      <c r="J20" s="47"/>
      <c r="K20" s="43"/>
      <c r="L20" s="38"/>
      <c r="M20" s="71"/>
      <c r="N20" s="39"/>
      <c r="O20" s="39"/>
      <c r="P20" s="39"/>
      <c r="Q20" s="72"/>
      <c r="R20" s="44"/>
      <c r="S20" s="44"/>
      <c r="T20" s="44"/>
      <c r="U20" s="44"/>
      <c r="V20" s="40"/>
      <c r="W20" s="40"/>
      <c r="X20" s="45"/>
      <c r="Y20" s="45"/>
      <c r="Z20" s="45"/>
      <c r="AA20" s="45"/>
      <c r="AB20" s="41"/>
      <c r="AC20" s="41"/>
      <c r="AD20" s="41"/>
      <c r="AE20" s="41"/>
      <c r="AF20" s="41"/>
      <c r="AG20" s="41"/>
      <c r="AH20" s="42"/>
      <c r="AI20" s="42"/>
      <c r="AJ20" s="42">
        <v>3.75</v>
      </c>
      <c r="AK20" s="42"/>
      <c r="AL20" s="42"/>
      <c r="AM20" s="42"/>
      <c r="AN20" s="37"/>
      <c r="AO20" s="26"/>
    </row>
    <row r="21" spans="1:52" ht="24.9" customHeight="1" x14ac:dyDescent="0.25">
      <c r="A21" s="222" t="str">
        <f t="shared" si="6"/>
        <v>Ok</v>
      </c>
      <c r="B21" s="36"/>
      <c r="C21" s="158">
        <v>45847</v>
      </c>
      <c r="D21" s="73" t="s">
        <v>1514</v>
      </c>
      <c r="E21" s="156">
        <v>12</v>
      </c>
      <c r="F21" s="156"/>
      <c r="G21" s="225">
        <f t="shared" si="5"/>
        <v>3203.3900000000017</v>
      </c>
      <c r="H21" s="32"/>
      <c r="I21" s="13" t="s">
        <v>1515</v>
      </c>
      <c r="J21" s="47"/>
      <c r="K21" s="43"/>
      <c r="L21" s="38"/>
      <c r="M21" s="71"/>
      <c r="N21" s="39"/>
      <c r="O21" s="39"/>
      <c r="P21" s="39"/>
      <c r="Q21" s="72"/>
      <c r="R21" s="44"/>
      <c r="S21" s="44"/>
      <c r="T21" s="44"/>
      <c r="U21" s="44"/>
      <c r="V21" s="40"/>
      <c r="W21" s="40"/>
      <c r="X21" s="45"/>
      <c r="Y21" s="45"/>
      <c r="Z21" s="45"/>
      <c r="AA21" s="45"/>
      <c r="AB21" s="41"/>
      <c r="AC21" s="41"/>
      <c r="AD21" s="41"/>
      <c r="AE21" s="41"/>
      <c r="AF21" s="41"/>
      <c r="AG21" s="41"/>
      <c r="AH21" s="42"/>
      <c r="AI21" s="42"/>
      <c r="AJ21" s="42"/>
      <c r="AK21" s="42"/>
      <c r="AL21" s="42"/>
      <c r="AM21" s="42"/>
      <c r="AN21" s="37">
        <v>12</v>
      </c>
      <c r="AO21" s="26"/>
    </row>
    <row r="22" spans="1:52" ht="24.9" customHeight="1" x14ac:dyDescent="0.25">
      <c r="A22" s="222" t="str">
        <f>IF(ABS(SUM(L22:AO22))&lt;&gt;SUM(E22:F22),"A Distribuer","Ok")</f>
        <v>Ok</v>
      </c>
      <c r="B22" s="36"/>
      <c r="C22" s="158">
        <v>38540</v>
      </c>
      <c r="D22" s="73" t="s">
        <v>1520</v>
      </c>
      <c r="E22" s="156">
        <v>12</v>
      </c>
      <c r="F22" s="156"/>
      <c r="G22" s="225">
        <f t="shared" si="5"/>
        <v>3215.3900000000017</v>
      </c>
      <c r="H22" s="32"/>
      <c r="I22" s="13" t="s">
        <v>1521</v>
      </c>
      <c r="J22" s="47"/>
      <c r="K22" s="43"/>
      <c r="L22" s="38"/>
      <c r="M22" s="71"/>
      <c r="N22" s="39"/>
      <c r="O22" s="39"/>
      <c r="P22" s="39"/>
      <c r="Q22" s="72"/>
      <c r="R22" s="44"/>
      <c r="S22" s="44"/>
      <c r="T22" s="44"/>
      <c r="U22" s="44"/>
      <c r="V22" s="40"/>
      <c r="W22" s="40"/>
      <c r="X22" s="45"/>
      <c r="Y22" s="45"/>
      <c r="Z22" s="45"/>
      <c r="AA22" s="45"/>
      <c r="AB22" s="41"/>
      <c r="AC22" s="41"/>
      <c r="AD22" s="41"/>
      <c r="AE22" s="41"/>
      <c r="AF22" s="41"/>
      <c r="AG22" s="41"/>
      <c r="AH22" s="42"/>
      <c r="AI22" s="42"/>
      <c r="AJ22" s="42"/>
      <c r="AK22" s="42"/>
      <c r="AL22" s="42"/>
      <c r="AM22" s="42"/>
      <c r="AN22" s="37">
        <v>12</v>
      </c>
      <c r="AO22" s="26"/>
    </row>
    <row r="23" spans="1:52" ht="24.9" customHeight="1" x14ac:dyDescent="0.25">
      <c r="A23" s="222" t="str">
        <f t="shared" ref="A23:A28" si="7">IF(ABS(SUM(L23:AO23))&lt;&gt;SUM(E23:F23),"A Distribuer","Ok")</f>
        <v>Ok</v>
      </c>
      <c r="B23" s="36"/>
      <c r="C23" s="158">
        <v>45835</v>
      </c>
      <c r="D23" s="73" t="s">
        <v>1523</v>
      </c>
      <c r="E23" s="156">
        <v>30</v>
      </c>
      <c r="F23" s="156"/>
      <c r="G23" s="225">
        <f t="shared" ref="G23:G29" si="8">G24-E23+F23</f>
        <v>3227.3900000000017</v>
      </c>
      <c r="H23" s="32"/>
      <c r="I23" s="13" t="s">
        <v>1524</v>
      </c>
      <c r="J23" s="47"/>
      <c r="K23" s="43"/>
      <c r="L23" s="38"/>
      <c r="M23" s="71"/>
      <c r="N23" s="39"/>
      <c r="O23" s="39"/>
      <c r="P23" s="39"/>
      <c r="Q23" s="72"/>
      <c r="R23" s="44"/>
      <c r="S23" s="44"/>
      <c r="T23" s="44"/>
      <c r="U23" s="44"/>
      <c r="V23" s="40"/>
      <c r="W23" s="40"/>
      <c r="X23" s="45"/>
      <c r="Y23" s="45"/>
      <c r="Z23" s="45"/>
      <c r="AA23" s="45"/>
      <c r="AB23" s="41"/>
      <c r="AC23" s="41"/>
      <c r="AD23" s="41"/>
      <c r="AE23" s="41"/>
      <c r="AF23" s="41"/>
      <c r="AG23" s="41"/>
      <c r="AH23" s="42"/>
      <c r="AI23" s="42"/>
      <c r="AJ23" s="42"/>
      <c r="AK23" s="42"/>
      <c r="AL23" s="42"/>
      <c r="AM23" s="42"/>
      <c r="AN23" s="37"/>
      <c r="AO23" s="26">
        <v>30</v>
      </c>
    </row>
    <row r="24" spans="1:52" ht="24.9" customHeight="1" x14ac:dyDescent="0.25">
      <c r="A24" s="222" t="str">
        <f t="shared" si="7"/>
        <v>Ok</v>
      </c>
      <c r="B24" s="36"/>
      <c r="C24" s="158">
        <v>45833</v>
      </c>
      <c r="D24" s="73" t="s">
        <v>1516</v>
      </c>
      <c r="E24" s="156">
        <v>12</v>
      </c>
      <c r="F24" s="156"/>
      <c r="G24" s="225">
        <f t="shared" si="8"/>
        <v>3257.3900000000017</v>
      </c>
      <c r="H24" s="32"/>
      <c r="I24" s="13" t="s">
        <v>1517</v>
      </c>
      <c r="J24" s="47"/>
      <c r="K24" s="43"/>
      <c r="L24" s="38"/>
      <c r="M24" s="71"/>
      <c r="N24" s="39"/>
      <c r="O24" s="39"/>
      <c r="P24" s="39"/>
      <c r="Q24" s="72"/>
      <c r="R24" s="44"/>
      <c r="S24" s="44"/>
      <c r="T24" s="44"/>
      <c r="U24" s="44"/>
      <c r="V24" s="40"/>
      <c r="W24" s="40"/>
      <c r="X24" s="45"/>
      <c r="Y24" s="45"/>
      <c r="Z24" s="45"/>
      <c r="AA24" s="45"/>
      <c r="AB24" s="41"/>
      <c r="AC24" s="41"/>
      <c r="AD24" s="41"/>
      <c r="AE24" s="41"/>
      <c r="AF24" s="41"/>
      <c r="AG24" s="41"/>
      <c r="AH24" s="42"/>
      <c r="AI24" s="42"/>
      <c r="AJ24" s="42"/>
      <c r="AK24" s="42"/>
      <c r="AL24" s="42"/>
      <c r="AM24" s="42"/>
      <c r="AN24" s="37">
        <v>12</v>
      </c>
      <c r="AO24" s="26"/>
    </row>
    <row r="25" spans="1:52" ht="21" customHeight="1" x14ac:dyDescent="0.25">
      <c r="A25" s="222" t="str">
        <f t="shared" si="7"/>
        <v>Ok</v>
      </c>
      <c r="B25" s="221"/>
      <c r="C25" s="463">
        <v>45832</v>
      </c>
      <c r="D25" s="464" t="s">
        <v>1530</v>
      </c>
      <c r="E25" s="465"/>
      <c r="F25" s="465">
        <v>54</v>
      </c>
      <c r="G25" s="225">
        <f t="shared" si="8"/>
        <v>3269.3900000000017</v>
      </c>
      <c r="H25" s="467"/>
      <c r="I25" s="37" t="s">
        <v>1531</v>
      </c>
      <c r="J25" s="46"/>
      <c r="K25" s="468"/>
      <c r="L25" s="469"/>
      <c r="M25" s="42"/>
      <c r="N25" s="468"/>
      <c r="O25" s="468"/>
      <c r="P25" s="468"/>
      <c r="Q25" s="468"/>
      <c r="R25" s="468"/>
      <c r="S25" s="468"/>
      <c r="T25" s="468"/>
      <c r="U25" s="468"/>
      <c r="V25" s="42"/>
      <c r="W25" s="42"/>
      <c r="X25" s="468"/>
      <c r="Y25" s="468"/>
      <c r="Z25" s="468"/>
      <c r="AA25" s="468"/>
      <c r="AB25" s="468"/>
      <c r="AC25" s="42"/>
      <c r="AD25" s="42"/>
      <c r="AE25" s="468"/>
      <c r="AF25" s="468"/>
      <c r="AG25" s="468"/>
      <c r="AH25" s="42"/>
      <c r="AI25" s="42"/>
      <c r="AJ25" s="42"/>
      <c r="AK25" s="42"/>
      <c r="AL25" s="42"/>
      <c r="AM25" s="42">
        <v>-54</v>
      </c>
      <c r="AN25" s="42"/>
      <c r="AO25" s="26"/>
    </row>
    <row r="26" spans="1:52" ht="24.9" customHeight="1" x14ac:dyDescent="0.25">
      <c r="A26" s="222" t="str">
        <f t="shared" si="7"/>
        <v>Ok</v>
      </c>
      <c r="B26" s="36"/>
      <c r="C26" s="158">
        <v>45827</v>
      </c>
      <c r="D26" s="73" t="s">
        <v>1512</v>
      </c>
      <c r="E26" s="156">
        <v>10</v>
      </c>
      <c r="F26" s="156"/>
      <c r="G26" s="225">
        <f t="shared" si="8"/>
        <v>3215.3900000000017</v>
      </c>
      <c r="H26" s="32"/>
      <c r="I26" s="13" t="s">
        <v>1513</v>
      </c>
      <c r="J26" s="47"/>
      <c r="K26" s="43"/>
      <c r="L26" s="38"/>
      <c r="M26" s="71"/>
      <c r="N26" s="39"/>
      <c r="O26" s="39"/>
      <c r="P26" s="39"/>
      <c r="Q26" s="72"/>
      <c r="R26" s="44"/>
      <c r="S26" s="44"/>
      <c r="T26" s="44"/>
      <c r="U26" s="44"/>
      <c r="V26" s="40"/>
      <c r="W26" s="40"/>
      <c r="X26" s="45"/>
      <c r="Y26" s="45"/>
      <c r="Z26" s="45"/>
      <c r="AA26" s="45"/>
      <c r="AB26" s="41"/>
      <c r="AC26" s="41"/>
      <c r="AD26" s="41"/>
      <c r="AE26" s="41"/>
      <c r="AF26" s="41"/>
      <c r="AG26" s="41"/>
      <c r="AH26" s="42"/>
      <c r="AI26" s="42"/>
      <c r="AJ26" s="42"/>
      <c r="AK26" s="42"/>
      <c r="AL26" s="42"/>
      <c r="AM26" s="42"/>
      <c r="AN26" s="37">
        <v>10</v>
      </c>
      <c r="AO26" s="26"/>
    </row>
    <row r="27" spans="1:52" ht="47.4" customHeight="1" x14ac:dyDescent="0.25">
      <c r="A27" s="222" t="str">
        <f t="shared" si="7"/>
        <v>Ok</v>
      </c>
      <c r="B27" s="36"/>
      <c r="C27" s="463">
        <v>45824</v>
      </c>
      <c r="D27" s="464" t="s">
        <v>1526</v>
      </c>
      <c r="E27" s="465">
        <v>159</v>
      </c>
      <c r="F27" s="156"/>
      <c r="G27" s="225">
        <f t="shared" si="8"/>
        <v>3225.3900000000017</v>
      </c>
      <c r="H27" s="32"/>
      <c r="I27" s="13" t="s">
        <v>15</v>
      </c>
      <c r="J27" s="47"/>
      <c r="K27" s="43"/>
      <c r="L27" s="38"/>
      <c r="M27" s="71"/>
      <c r="N27" s="39"/>
      <c r="O27" s="39"/>
      <c r="P27" s="39">
        <v>159</v>
      </c>
      <c r="Q27" s="72"/>
      <c r="R27" s="44"/>
      <c r="S27" s="44"/>
      <c r="T27" s="44"/>
      <c r="U27" s="44"/>
      <c r="V27" s="40"/>
      <c r="W27" s="40"/>
      <c r="X27" s="45"/>
      <c r="Y27" s="45"/>
      <c r="Z27" s="45"/>
      <c r="AA27" s="45"/>
      <c r="AB27" s="41"/>
      <c r="AC27" s="41"/>
      <c r="AD27" s="41"/>
      <c r="AE27" s="41"/>
      <c r="AF27" s="41"/>
      <c r="AG27" s="41"/>
      <c r="AH27" s="42"/>
      <c r="AI27" s="42"/>
      <c r="AJ27" s="42"/>
      <c r="AK27" s="42"/>
      <c r="AL27" s="42"/>
      <c r="AM27" s="42"/>
      <c r="AN27" s="37"/>
      <c r="AO27" s="26"/>
    </row>
    <row r="28" spans="1:52" ht="24.9" customHeight="1" x14ac:dyDescent="0.25">
      <c r="A28" s="222" t="str">
        <f t="shared" si="7"/>
        <v>Ok</v>
      </c>
      <c r="B28" s="36"/>
      <c r="C28" s="158">
        <v>45822</v>
      </c>
      <c r="D28" s="73" t="s">
        <v>1518</v>
      </c>
      <c r="E28" s="156">
        <v>12</v>
      </c>
      <c r="F28" s="156"/>
      <c r="G28" s="225">
        <f t="shared" si="8"/>
        <v>3384.3900000000017</v>
      </c>
      <c r="H28" s="32"/>
      <c r="I28" s="13" t="s">
        <v>1519</v>
      </c>
      <c r="J28" s="47"/>
      <c r="K28" s="43"/>
      <c r="L28" s="38"/>
      <c r="M28" s="71"/>
      <c r="N28" s="39"/>
      <c r="O28" s="39"/>
      <c r="P28" s="39"/>
      <c r="Q28" s="72"/>
      <c r="R28" s="44"/>
      <c r="S28" s="44"/>
      <c r="T28" s="44"/>
      <c r="U28" s="44"/>
      <c r="V28" s="40"/>
      <c r="W28" s="40"/>
      <c r="X28" s="45"/>
      <c r="Y28" s="45"/>
      <c r="Z28" s="45"/>
      <c r="AA28" s="45"/>
      <c r="AB28" s="41"/>
      <c r="AC28" s="41"/>
      <c r="AD28" s="41"/>
      <c r="AE28" s="41"/>
      <c r="AF28" s="41"/>
      <c r="AG28" s="41"/>
      <c r="AH28" s="42"/>
      <c r="AI28" s="42"/>
      <c r="AJ28" s="42"/>
      <c r="AK28" s="42"/>
      <c r="AL28" s="42"/>
      <c r="AM28" s="42"/>
      <c r="AN28" s="37">
        <v>12</v>
      </c>
      <c r="AO28" s="26"/>
    </row>
    <row r="29" spans="1:52" ht="24.9" customHeight="1" x14ac:dyDescent="0.25">
      <c r="A29" s="222" t="str">
        <f t="shared" ref="A29:A35" si="9">IF(ABS(SUM(L29:AO29))&lt;&gt;SUM(E29:F29),"A Distribuer","Ok")</f>
        <v>Ok</v>
      </c>
      <c r="B29" s="36"/>
      <c r="C29" s="463">
        <v>45819</v>
      </c>
      <c r="D29" s="464" t="s">
        <v>1525</v>
      </c>
      <c r="E29" s="465">
        <v>20</v>
      </c>
      <c r="F29" s="156"/>
      <c r="G29" s="225">
        <f t="shared" si="8"/>
        <v>3396.3900000000017</v>
      </c>
      <c r="H29" s="32"/>
      <c r="I29" s="13" t="s">
        <v>1527</v>
      </c>
      <c r="J29" s="47"/>
      <c r="K29" s="43"/>
      <c r="L29" s="38"/>
      <c r="M29" s="71"/>
      <c r="N29" s="39"/>
      <c r="O29" s="39"/>
      <c r="P29" s="39"/>
      <c r="Q29" s="72"/>
      <c r="R29" s="44"/>
      <c r="S29" s="44"/>
      <c r="T29" s="44"/>
      <c r="U29" s="44"/>
      <c r="V29" s="40"/>
      <c r="W29" s="40"/>
      <c r="X29" s="45"/>
      <c r="Y29" s="45"/>
      <c r="Z29" s="45"/>
      <c r="AA29" s="45"/>
      <c r="AB29" s="41"/>
      <c r="AC29" s="41"/>
      <c r="AD29" s="41"/>
      <c r="AE29" s="41"/>
      <c r="AF29" s="41"/>
      <c r="AG29" s="41"/>
      <c r="AH29" s="42"/>
      <c r="AI29" s="42"/>
      <c r="AJ29" s="42"/>
      <c r="AK29" s="42"/>
      <c r="AL29" s="42"/>
      <c r="AM29" s="42"/>
      <c r="AN29" s="37"/>
      <c r="AO29" s="26">
        <v>20</v>
      </c>
    </row>
    <row r="30" spans="1:52" ht="24.9" customHeight="1" x14ac:dyDescent="0.25">
      <c r="A30" s="222" t="str">
        <f t="shared" si="9"/>
        <v>Ok</v>
      </c>
      <c r="B30" s="36"/>
      <c r="C30" s="415">
        <v>45814</v>
      </c>
      <c r="D30" s="413" t="s">
        <v>1509</v>
      </c>
      <c r="E30" s="414">
        <v>30</v>
      </c>
      <c r="F30" s="414"/>
      <c r="G30" s="225">
        <f t="shared" ref="G30:G35" si="10">G31-E30+F30</f>
        <v>3416.3900000000017</v>
      </c>
      <c r="H30" s="32"/>
      <c r="I30" s="13" t="s">
        <v>1522</v>
      </c>
      <c r="J30" s="47"/>
      <c r="K30" s="43"/>
      <c r="L30" s="38"/>
      <c r="M30" s="71"/>
      <c r="N30" s="39"/>
      <c r="O30" s="39"/>
      <c r="P30" s="39"/>
      <c r="Q30" s="72"/>
      <c r="R30" s="44"/>
      <c r="S30" s="44"/>
      <c r="T30" s="44"/>
      <c r="U30" s="44"/>
      <c r="V30" s="40"/>
      <c r="W30" s="40"/>
      <c r="X30" s="45"/>
      <c r="Y30" s="45"/>
      <c r="Z30" s="45"/>
      <c r="AA30" s="45"/>
      <c r="AB30" s="41"/>
      <c r="AC30" s="41"/>
      <c r="AD30" s="41"/>
      <c r="AE30" s="41"/>
      <c r="AF30" s="41"/>
      <c r="AG30" s="41"/>
      <c r="AH30" s="42"/>
      <c r="AI30" s="42"/>
      <c r="AJ30" s="42"/>
      <c r="AK30" s="42"/>
      <c r="AL30" s="42"/>
      <c r="AM30" s="42"/>
      <c r="AN30" s="37">
        <v>30</v>
      </c>
      <c r="AO30" s="26"/>
    </row>
    <row r="31" spans="1:52" ht="24.9" customHeight="1" x14ac:dyDescent="0.25">
      <c r="A31" s="222" t="str">
        <f t="shared" si="9"/>
        <v>Ok</v>
      </c>
      <c r="B31" s="36"/>
      <c r="C31" s="415">
        <v>45812</v>
      </c>
      <c r="D31" s="413" t="s">
        <v>1507</v>
      </c>
      <c r="E31" s="414">
        <v>108</v>
      </c>
      <c r="F31" s="414"/>
      <c r="G31" s="225">
        <f t="shared" si="10"/>
        <v>3446.3900000000017</v>
      </c>
      <c r="H31" s="32"/>
      <c r="I31" s="13" t="s">
        <v>1508</v>
      </c>
      <c r="J31" s="47"/>
      <c r="K31" s="43"/>
      <c r="L31" s="38"/>
      <c r="M31" s="71"/>
      <c r="N31" s="39"/>
      <c r="O31" s="39"/>
      <c r="P31" s="39"/>
      <c r="Q31" s="72"/>
      <c r="R31" s="44"/>
      <c r="S31" s="44"/>
      <c r="T31" s="44"/>
      <c r="U31" s="44"/>
      <c r="V31" s="40"/>
      <c r="W31" s="40"/>
      <c r="X31" s="45"/>
      <c r="Y31" s="45"/>
      <c r="Z31" s="45"/>
      <c r="AA31" s="45"/>
      <c r="AB31" s="41"/>
      <c r="AC31" s="41"/>
      <c r="AD31" s="41"/>
      <c r="AE31" s="41"/>
      <c r="AF31" s="41"/>
      <c r="AG31" s="41"/>
      <c r="AH31" s="42"/>
      <c r="AI31" s="42"/>
      <c r="AJ31" s="42"/>
      <c r="AK31" s="42"/>
      <c r="AL31" s="42"/>
      <c r="AM31" s="42"/>
      <c r="AN31" s="37"/>
      <c r="AO31" s="26">
        <v>108</v>
      </c>
    </row>
    <row r="32" spans="1:52" ht="24.9" customHeight="1" x14ac:dyDescent="0.25">
      <c r="A32" s="222" t="str">
        <f t="shared" si="9"/>
        <v>Ok</v>
      </c>
      <c r="B32" s="36"/>
      <c r="C32" s="415">
        <v>45798</v>
      </c>
      <c r="D32" s="413" t="s">
        <v>1505</v>
      </c>
      <c r="E32" s="414"/>
      <c r="F32" s="414">
        <v>0.54</v>
      </c>
      <c r="G32" s="225">
        <f t="shared" si="10"/>
        <v>3554.3900000000017</v>
      </c>
      <c r="H32" s="32"/>
      <c r="I32" s="13" t="s">
        <v>1506</v>
      </c>
      <c r="J32" s="47"/>
      <c r="K32" s="43"/>
      <c r="L32" s="38"/>
      <c r="M32" s="71"/>
      <c r="N32" s="39"/>
      <c r="O32" s="39"/>
      <c r="P32" s="39"/>
      <c r="Q32" s="72"/>
      <c r="R32" s="44"/>
      <c r="S32" s="44"/>
      <c r="T32" s="44"/>
      <c r="U32" s="44"/>
      <c r="V32" s="40"/>
      <c r="W32" s="40"/>
      <c r="X32" s="45"/>
      <c r="Y32" s="45"/>
      <c r="Z32" s="45"/>
      <c r="AA32" s="45"/>
      <c r="AB32" s="41"/>
      <c r="AC32" s="41"/>
      <c r="AD32" s="41"/>
      <c r="AE32" s="41"/>
      <c r="AF32" s="41"/>
      <c r="AG32" s="41"/>
      <c r="AH32" s="42"/>
      <c r="AI32" s="42"/>
      <c r="AJ32" s="42">
        <v>-0.54</v>
      </c>
      <c r="AK32" s="42"/>
      <c r="AL32" s="42"/>
      <c r="AM32" s="42"/>
      <c r="AN32" s="37"/>
      <c r="AO32" s="26"/>
    </row>
    <row r="33" spans="1:41" ht="24.9" customHeight="1" x14ac:dyDescent="0.25">
      <c r="A33" s="222" t="str">
        <f t="shared" si="9"/>
        <v>Ok</v>
      </c>
      <c r="B33" s="36"/>
      <c r="C33" s="415">
        <v>45793</v>
      </c>
      <c r="D33" s="413" t="s">
        <v>1504</v>
      </c>
      <c r="E33" s="414">
        <v>75</v>
      </c>
      <c r="F33" s="414"/>
      <c r="G33" s="225">
        <f t="shared" si="10"/>
        <v>3553.8500000000017</v>
      </c>
      <c r="H33" s="32"/>
      <c r="I33" s="13" t="s">
        <v>1220</v>
      </c>
      <c r="J33" s="47"/>
      <c r="K33" s="43"/>
      <c r="L33" s="38"/>
      <c r="M33" s="71"/>
      <c r="N33" s="39"/>
      <c r="O33" s="39"/>
      <c r="P33" s="39"/>
      <c r="Q33" s="72"/>
      <c r="R33" s="44">
        <v>75</v>
      </c>
      <c r="S33" s="44"/>
      <c r="T33" s="44"/>
      <c r="U33" s="44"/>
      <c r="V33" s="40"/>
      <c r="W33" s="40"/>
      <c r="X33" s="45"/>
      <c r="Y33" s="45"/>
      <c r="Z33" s="45"/>
      <c r="AA33" s="45"/>
      <c r="AB33" s="41"/>
      <c r="AC33" s="41"/>
      <c r="AD33" s="41"/>
      <c r="AE33" s="41"/>
      <c r="AF33" s="41"/>
      <c r="AG33" s="41"/>
      <c r="AH33" s="42"/>
      <c r="AI33" s="42"/>
      <c r="AJ33" s="42"/>
      <c r="AK33" s="42"/>
      <c r="AL33" s="42"/>
      <c r="AM33" s="42"/>
      <c r="AN33" s="37"/>
      <c r="AO33" s="26"/>
    </row>
    <row r="34" spans="1:41" ht="24.9" customHeight="1" x14ac:dyDescent="0.25">
      <c r="A34" s="222" t="str">
        <f t="shared" si="9"/>
        <v>Ok</v>
      </c>
      <c r="B34" s="36"/>
      <c r="C34" s="415">
        <v>45792</v>
      </c>
      <c r="D34" s="413" t="s">
        <v>1502</v>
      </c>
      <c r="E34" s="414"/>
      <c r="F34" s="414">
        <v>30</v>
      </c>
      <c r="G34" s="225">
        <f t="shared" si="10"/>
        <v>3628.8500000000017</v>
      </c>
      <c r="H34" s="32"/>
      <c r="I34" s="13" t="s">
        <v>1503</v>
      </c>
      <c r="J34" s="47"/>
      <c r="K34" s="43"/>
      <c r="L34" s="38"/>
      <c r="M34" s="71"/>
      <c r="N34" s="39"/>
      <c r="O34" s="39"/>
      <c r="P34" s="39"/>
      <c r="Q34" s="72"/>
      <c r="R34" s="44"/>
      <c r="S34" s="44"/>
      <c r="T34" s="44"/>
      <c r="U34" s="44"/>
      <c r="V34" s="40"/>
      <c r="W34" s="40"/>
      <c r="X34" s="45"/>
      <c r="Y34" s="45"/>
      <c r="Z34" s="45"/>
      <c r="AA34" s="45"/>
      <c r="AB34" s="41"/>
      <c r="AC34" s="41"/>
      <c r="AD34" s="41"/>
      <c r="AE34" s="41"/>
      <c r="AF34" s="41"/>
      <c r="AG34" s="41">
        <v>30</v>
      </c>
      <c r="AH34" s="42"/>
      <c r="AI34" s="42"/>
      <c r="AJ34" s="42"/>
      <c r="AK34" s="42"/>
      <c r="AL34" s="42"/>
      <c r="AM34" s="42"/>
      <c r="AN34" s="37"/>
      <c r="AO34" s="26"/>
    </row>
    <row r="35" spans="1:41" ht="41.4" x14ac:dyDescent="0.25">
      <c r="A35" s="222" t="str">
        <f t="shared" si="9"/>
        <v>Ok</v>
      </c>
      <c r="B35" s="36"/>
      <c r="C35" s="415">
        <v>45792</v>
      </c>
      <c r="D35" s="413" t="s">
        <v>1501</v>
      </c>
      <c r="E35" s="414">
        <v>119</v>
      </c>
      <c r="F35" s="414"/>
      <c r="G35" s="225">
        <f t="shared" si="10"/>
        <v>3598.8500000000017</v>
      </c>
      <c r="H35" s="32"/>
      <c r="I35" s="13"/>
      <c r="J35" s="47"/>
      <c r="K35" s="43"/>
      <c r="L35" s="38"/>
      <c r="M35" s="71"/>
      <c r="N35" s="39"/>
      <c r="O35" s="39"/>
      <c r="P35" s="39">
        <v>119</v>
      </c>
      <c r="Q35" s="72"/>
      <c r="R35" s="44"/>
      <c r="S35" s="44"/>
      <c r="T35" s="44"/>
      <c r="U35" s="44"/>
      <c r="V35" s="40"/>
      <c r="W35" s="40"/>
      <c r="X35" s="45"/>
      <c r="Y35" s="45"/>
      <c r="Z35" s="45"/>
      <c r="AA35" s="45"/>
      <c r="AB35" s="41"/>
      <c r="AC35" s="41"/>
      <c r="AD35" s="41"/>
      <c r="AE35" s="41"/>
      <c r="AF35" s="41"/>
      <c r="AG35" s="41"/>
      <c r="AH35" s="42"/>
      <c r="AI35" s="42"/>
      <c r="AJ35" s="42"/>
      <c r="AK35" s="42"/>
      <c r="AL35" s="42"/>
      <c r="AM35" s="42"/>
      <c r="AN35" s="37"/>
      <c r="AO35" s="26"/>
    </row>
    <row r="36" spans="1:41" ht="24.9" customHeight="1" x14ac:dyDescent="0.25">
      <c r="A36" s="222" t="str">
        <f t="shared" ref="A36:A41" si="11">IF(ABS(SUM(L36:AO36))&lt;&gt;SUM(E36:F36),"A Distribuer","Ok")</f>
        <v>Ok</v>
      </c>
      <c r="B36" s="36"/>
      <c r="C36" s="158">
        <v>45791</v>
      </c>
      <c r="D36" s="73" t="s">
        <v>1221</v>
      </c>
      <c r="E36" s="156">
        <v>96</v>
      </c>
      <c r="F36" s="156"/>
      <c r="G36" s="225">
        <f t="shared" ref="G36:G40" si="12">G37-E36+F36</f>
        <v>3717.8500000000017</v>
      </c>
      <c r="H36" s="32"/>
      <c r="I36" s="13" t="s">
        <v>1222</v>
      </c>
      <c r="J36" s="47"/>
      <c r="K36" s="43"/>
      <c r="L36" s="38"/>
      <c r="M36" s="71"/>
      <c r="N36" s="39"/>
      <c r="O36" s="39"/>
      <c r="P36" s="39"/>
      <c r="Q36" s="72"/>
      <c r="R36" s="44"/>
      <c r="S36" s="44"/>
      <c r="T36" s="44"/>
      <c r="U36" s="44"/>
      <c r="V36" s="40"/>
      <c r="W36" s="40"/>
      <c r="X36" s="45"/>
      <c r="Y36" s="45"/>
      <c r="Z36" s="45"/>
      <c r="AA36" s="45"/>
      <c r="AB36" s="41"/>
      <c r="AC36" s="41"/>
      <c r="AD36" s="41">
        <v>96</v>
      </c>
      <c r="AE36" s="41"/>
      <c r="AF36" s="41"/>
      <c r="AG36" s="41"/>
      <c r="AH36" s="42"/>
      <c r="AI36" s="42"/>
      <c r="AJ36" s="42"/>
      <c r="AK36" s="42"/>
      <c r="AL36" s="42"/>
      <c r="AM36" s="42"/>
      <c r="AN36" s="37"/>
      <c r="AO36" s="26"/>
    </row>
    <row r="37" spans="1:41" ht="24.9" customHeight="1" x14ac:dyDescent="0.25">
      <c r="A37" s="222" t="str">
        <f t="shared" si="11"/>
        <v>Ok</v>
      </c>
      <c r="B37" s="36"/>
      <c r="C37" s="158">
        <v>45791</v>
      </c>
      <c r="D37" s="73" t="s">
        <v>1495</v>
      </c>
      <c r="E37" s="156">
        <v>4.7</v>
      </c>
      <c r="F37" s="156"/>
      <c r="G37" s="225">
        <f t="shared" si="12"/>
        <v>3813.8500000000017</v>
      </c>
      <c r="H37" s="32"/>
      <c r="I37" s="13" t="s">
        <v>1496</v>
      </c>
      <c r="J37" s="47"/>
      <c r="K37" s="43"/>
      <c r="L37" s="38"/>
      <c r="M37" s="71"/>
      <c r="N37" s="39"/>
      <c r="O37" s="39"/>
      <c r="P37" s="39"/>
      <c r="Q37" s="72"/>
      <c r="R37" s="44"/>
      <c r="S37" s="44"/>
      <c r="T37" s="44"/>
      <c r="U37" s="44"/>
      <c r="V37" s="40"/>
      <c r="W37" s="40"/>
      <c r="X37" s="45"/>
      <c r="Y37" s="45"/>
      <c r="Z37" s="45"/>
      <c r="AA37" s="45"/>
      <c r="AB37" s="41">
        <v>4.7</v>
      </c>
      <c r="AC37" s="41"/>
      <c r="AD37" s="41"/>
      <c r="AE37" s="41"/>
      <c r="AF37" s="41"/>
      <c r="AG37" s="41"/>
      <c r="AH37" s="42"/>
      <c r="AI37" s="42"/>
      <c r="AJ37" s="42"/>
      <c r="AK37" s="42"/>
      <c r="AL37" s="42"/>
      <c r="AM37" s="42"/>
      <c r="AN37" s="37"/>
      <c r="AO37" s="26"/>
    </row>
    <row r="38" spans="1:41" ht="24.9" customHeight="1" x14ac:dyDescent="0.25">
      <c r="A38" s="222" t="str">
        <f t="shared" si="11"/>
        <v>Ok</v>
      </c>
      <c r="B38" s="36"/>
      <c r="C38" s="415">
        <v>45790</v>
      </c>
      <c r="D38" s="413" t="s">
        <v>1499</v>
      </c>
      <c r="E38" s="414"/>
      <c r="F38" s="414">
        <v>30</v>
      </c>
      <c r="G38" s="225">
        <f t="shared" si="12"/>
        <v>3818.5500000000015</v>
      </c>
      <c r="H38" s="32"/>
      <c r="I38" s="13" t="s">
        <v>1500</v>
      </c>
      <c r="J38" s="47"/>
      <c r="K38" s="43"/>
      <c r="L38" s="38"/>
      <c r="M38" s="71"/>
      <c r="N38" s="39"/>
      <c r="O38" s="39"/>
      <c r="P38" s="39"/>
      <c r="Q38" s="72"/>
      <c r="R38" s="44"/>
      <c r="S38" s="44"/>
      <c r="T38" s="44"/>
      <c r="U38" s="44"/>
      <c r="V38" s="40"/>
      <c r="W38" s="40"/>
      <c r="X38" s="45"/>
      <c r="Y38" s="45"/>
      <c r="Z38" s="45"/>
      <c r="AA38" s="45"/>
      <c r="AB38" s="41"/>
      <c r="AC38" s="41"/>
      <c r="AD38" s="41"/>
      <c r="AE38" s="41"/>
      <c r="AF38" s="41"/>
      <c r="AG38" s="41">
        <v>30</v>
      </c>
      <c r="AH38" s="42"/>
      <c r="AI38" s="42"/>
      <c r="AJ38" s="42"/>
      <c r="AK38" s="42"/>
      <c r="AL38" s="42"/>
      <c r="AM38" s="42"/>
      <c r="AN38" s="37"/>
      <c r="AO38" s="26"/>
    </row>
    <row r="39" spans="1:41" ht="24.9" customHeight="1" x14ac:dyDescent="0.25">
      <c r="A39" s="222" t="str">
        <f t="shared" si="11"/>
        <v>Ok</v>
      </c>
      <c r="B39" s="36"/>
      <c r="C39" s="158">
        <v>45790</v>
      </c>
      <c r="D39" s="73" t="s">
        <v>1474</v>
      </c>
      <c r="E39" s="156">
        <v>18</v>
      </c>
      <c r="F39" s="156"/>
      <c r="G39" s="225">
        <f t="shared" si="12"/>
        <v>3788.5500000000015</v>
      </c>
      <c r="H39" s="32"/>
      <c r="I39" s="13" t="s">
        <v>1475</v>
      </c>
      <c r="J39" s="47"/>
      <c r="K39" s="43"/>
      <c r="L39" s="38"/>
      <c r="M39" s="71"/>
      <c r="N39" s="39"/>
      <c r="O39" s="39"/>
      <c r="P39" s="39"/>
      <c r="Q39" s="72"/>
      <c r="R39" s="44"/>
      <c r="S39" s="44"/>
      <c r="T39" s="44"/>
      <c r="U39" s="44"/>
      <c r="V39" s="40"/>
      <c r="W39" s="40"/>
      <c r="X39" s="45"/>
      <c r="Y39" s="45"/>
      <c r="Z39" s="45"/>
      <c r="AA39" s="45"/>
      <c r="AB39" s="41"/>
      <c r="AC39" s="41"/>
      <c r="AD39" s="41"/>
      <c r="AE39" s="41"/>
      <c r="AF39" s="41"/>
      <c r="AG39" s="41"/>
      <c r="AH39" s="42"/>
      <c r="AI39" s="42"/>
      <c r="AJ39" s="42"/>
      <c r="AK39" s="42"/>
      <c r="AL39" s="42"/>
      <c r="AM39" s="42"/>
      <c r="AN39" s="37"/>
      <c r="AO39" s="26">
        <v>18</v>
      </c>
    </row>
    <row r="40" spans="1:41" ht="24.9" customHeight="1" x14ac:dyDescent="0.25">
      <c r="A40" s="222" t="str">
        <f t="shared" si="11"/>
        <v>Ok</v>
      </c>
      <c r="B40" s="36"/>
      <c r="C40" s="158">
        <v>45790</v>
      </c>
      <c r="D40" s="73" t="s">
        <v>1436</v>
      </c>
      <c r="E40" s="156">
        <v>12.52</v>
      </c>
      <c r="F40" s="156"/>
      <c r="G40" s="225">
        <f t="shared" si="12"/>
        <v>3806.5500000000015</v>
      </c>
      <c r="H40" s="32"/>
      <c r="I40" s="13" t="s">
        <v>1437</v>
      </c>
      <c r="J40" s="47"/>
      <c r="K40" s="43"/>
      <c r="L40" s="38"/>
      <c r="M40" s="71"/>
      <c r="N40" s="39"/>
      <c r="O40" s="39"/>
      <c r="P40" s="39"/>
      <c r="Q40" s="72"/>
      <c r="R40" s="44"/>
      <c r="S40" s="44"/>
      <c r="T40" s="44"/>
      <c r="U40" s="44"/>
      <c r="V40" s="40"/>
      <c r="W40" s="40"/>
      <c r="X40" s="45"/>
      <c r="Y40" s="45"/>
      <c r="Z40" s="45"/>
      <c r="AA40" s="45"/>
      <c r="AB40" s="41"/>
      <c r="AC40" s="41"/>
      <c r="AD40" s="41"/>
      <c r="AE40" s="41"/>
      <c r="AF40" s="41"/>
      <c r="AG40" s="41"/>
      <c r="AH40" s="42">
        <v>3.8</v>
      </c>
      <c r="AI40" s="42"/>
      <c r="AJ40" s="42"/>
      <c r="AK40" s="42">
        <v>8.7200000000000006</v>
      </c>
      <c r="AL40" s="42"/>
      <c r="AM40" s="42"/>
      <c r="AN40" s="37"/>
      <c r="AO40" s="26"/>
    </row>
    <row r="41" spans="1:41" ht="24.9" customHeight="1" x14ac:dyDescent="0.25">
      <c r="A41" s="222" t="str">
        <f t="shared" si="11"/>
        <v>Ok</v>
      </c>
      <c r="B41" s="36"/>
      <c r="C41" s="415">
        <v>45786</v>
      </c>
      <c r="D41" s="413" t="s">
        <v>1497</v>
      </c>
      <c r="E41" s="414">
        <v>96</v>
      </c>
      <c r="F41" s="156"/>
      <c r="G41" s="225">
        <f t="shared" ref="G41:G44" si="13">G42-E41+F41</f>
        <v>3819.0700000000015</v>
      </c>
      <c r="H41" s="32"/>
      <c r="I41" s="13" t="s">
        <v>1498</v>
      </c>
      <c r="J41" s="47"/>
      <c r="K41" s="43"/>
      <c r="L41" s="38"/>
      <c r="M41" s="71"/>
      <c r="N41" s="39"/>
      <c r="O41" s="39"/>
      <c r="P41" s="39"/>
      <c r="Q41" s="72"/>
      <c r="R41" s="44"/>
      <c r="S41" s="44"/>
      <c r="T41" s="44"/>
      <c r="U41" s="44"/>
      <c r="V41" s="40"/>
      <c r="W41" s="40"/>
      <c r="X41" s="45"/>
      <c r="Y41" s="45"/>
      <c r="Z41" s="45"/>
      <c r="AA41" s="45"/>
      <c r="AB41" s="41"/>
      <c r="AC41" s="41"/>
      <c r="AD41" s="41"/>
      <c r="AE41" s="41"/>
      <c r="AF41" s="41"/>
      <c r="AG41" s="41"/>
      <c r="AH41" s="42"/>
      <c r="AI41" s="42"/>
      <c r="AJ41" s="42"/>
      <c r="AK41" s="42"/>
      <c r="AL41" s="42"/>
      <c r="AM41" s="42"/>
      <c r="AN41" s="37"/>
      <c r="AO41" s="26">
        <v>96</v>
      </c>
    </row>
    <row r="42" spans="1:41" ht="24.9" customHeight="1" x14ac:dyDescent="0.25">
      <c r="A42" s="222" t="str">
        <f>IF(ABS(SUM(L42:AN42))&lt;&gt;SUM(E42:F42),"A Distribuer","Ok")</f>
        <v>Ok</v>
      </c>
      <c r="B42" s="36"/>
      <c r="C42" s="158">
        <v>45786</v>
      </c>
      <c r="D42" s="73" t="s">
        <v>1468</v>
      </c>
      <c r="E42" s="156">
        <v>241.87</v>
      </c>
      <c r="F42" s="156"/>
      <c r="G42" s="225">
        <f t="shared" si="13"/>
        <v>3915.0700000000015</v>
      </c>
      <c r="H42" s="32"/>
      <c r="I42" s="13" t="s">
        <v>1469</v>
      </c>
      <c r="J42" s="47"/>
      <c r="K42" s="43"/>
      <c r="L42" s="38"/>
      <c r="M42" s="71"/>
      <c r="N42" s="39">
        <v>176.27</v>
      </c>
      <c r="O42" s="39">
        <v>65.599999999999994</v>
      </c>
      <c r="P42" s="39"/>
      <c r="Q42" s="72"/>
      <c r="R42" s="44"/>
      <c r="S42" s="44"/>
      <c r="T42" s="44"/>
      <c r="U42" s="44"/>
      <c r="V42" s="40"/>
      <c r="W42" s="40"/>
      <c r="X42" s="45"/>
      <c r="Y42" s="45"/>
      <c r="Z42" s="45"/>
      <c r="AA42" s="45"/>
      <c r="AB42" s="41"/>
      <c r="AC42" s="41"/>
      <c r="AD42" s="41"/>
      <c r="AE42" s="41"/>
      <c r="AF42" s="41"/>
      <c r="AG42" s="41"/>
      <c r="AH42" s="42"/>
      <c r="AI42" s="42"/>
      <c r="AJ42" s="42"/>
      <c r="AK42" s="42"/>
      <c r="AL42" s="42"/>
      <c r="AM42" s="42"/>
      <c r="AN42" s="37"/>
      <c r="AO42" s="26"/>
    </row>
    <row r="43" spans="1:41" ht="24.9" customHeight="1" x14ac:dyDescent="0.25">
      <c r="A43" s="222" t="str">
        <f>IF(ABS(SUM(L43:AO43))&lt;&gt;SUM(E43:F43),"A Distribuer","Ok")</f>
        <v>Ok</v>
      </c>
      <c r="B43" s="36"/>
      <c r="C43" s="158">
        <v>45786</v>
      </c>
      <c r="D43" s="73" t="s">
        <v>1472</v>
      </c>
      <c r="E43" s="156">
        <v>190.24</v>
      </c>
      <c r="F43" s="156"/>
      <c r="G43" s="225">
        <f t="shared" si="13"/>
        <v>4156.9400000000014</v>
      </c>
      <c r="H43" s="32"/>
      <c r="I43" s="13" t="s">
        <v>1473</v>
      </c>
      <c r="J43" s="47"/>
      <c r="K43" s="43"/>
      <c r="L43" s="38"/>
      <c r="M43" s="71"/>
      <c r="N43" s="39"/>
      <c r="O43" s="39"/>
      <c r="P43" s="39"/>
      <c r="Q43" s="72"/>
      <c r="R43" s="44"/>
      <c r="S43" s="44"/>
      <c r="T43" s="44"/>
      <c r="U43" s="44"/>
      <c r="V43" s="40"/>
      <c r="W43" s="40"/>
      <c r="X43" s="45"/>
      <c r="Y43" s="45"/>
      <c r="Z43" s="45"/>
      <c r="AA43" s="45"/>
      <c r="AB43" s="41"/>
      <c r="AC43" s="41"/>
      <c r="AD43" s="41"/>
      <c r="AE43" s="41"/>
      <c r="AF43" s="41"/>
      <c r="AG43" s="41"/>
      <c r="AH43" s="42"/>
      <c r="AI43" s="42"/>
      <c r="AJ43" s="42"/>
      <c r="AK43" s="42"/>
      <c r="AL43" s="42"/>
      <c r="AM43" s="42"/>
      <c r="AN43" s="37"/>
      <c r="AO43" s="26">
        <v>190.24</v>
      </c>
    </row>
    <row r="44" spans="1:41" ht="24.9" customHeight="1" x14ac:dyDescent="0.25">
      <c r="A44" s="222" t="str">
        <f>IF(ABS(SUM(L44:AN44))&lt;&gt;SUM(E44:F44),"A Distribuer","Ok")</f>
        <v>Ok</v>
      </c>
      <c r="B44" s="36"/>
      <c r="C44" s="158">
        <v>45786</v>
      </c>
      <c r="D44" s="73" t="s">
        <v>1207</v>
      </c>
      <c r="E44" s="156">
        <v>181.4</v>
      </c>
      <c r="F44" s="156"/>
      <c r="G44" s="225">
        <f t="shared" si="13"/>
        <v>4347.1800000000012</v>
      </c>
      <c r="H44" s="32"/>
      <c r="I44" s="13" t="s">
        <v>1211</v>
      </c>
      <c r="J44" s="47"/>
      <c r="K44" s="43"/>
      <c r="L44" s="38"/>
      <c r="M44" s="71"/>
      <c r="N44" s="39">
        <v>132.19999999999999</v>
      </c>
      <c r="O44" s="39">
        <v>49.2</v>
      </c>
      <c r="P44" s="39"/>
      <c r="Q44" s="72"/>
      <c r="R44" s="44"/>
      <c r="S44" s="44"/>
      <c r="T44" s="44"/>
      <c r="U44" s="44"/>
      <c r="V44" s="40"/>
      <c r="W44" s="40"/>
      <c r="X44" s="45"/>
      <c r="Y44" s="45"/>
      <c r="Z44" s="45"/>
      <c r="AA44" s="45"/>
      <c r="AB44" s="41"/>
      <c r="AC44" s="41"/>
      <c r="AD44" s="41"/>
      <c r="AE44" s="41"/>
      <c r="AF44" s="41"/>
      <c r="AG44" s="41"/>
      <c r="AH44" s="42"/>
      <c r="AI44" s="42"/>
      <c r="AJ44" s="42"/>
      <c r="AK44" s="42"/>
      <c r="AL44" s="42"/>
      <c r="AM44" s="42"/>
      <c r="AN44" s="37"/>
      <c r="AO44" s="26"/>
    </row>
    <row r="45" spans="1:41" ht="24.9" customHeight="1" x14ac:dyDescent="0.25">
      <c r="A45" s="222" t="str">
        <f>IF(ABS(SUM(L45:AN45))&lt;&gt;SUM(E45:F45),"A Distribuer","Ok")</f>
        <v>Ok</v>
      </c>
      <c r="B45" s="36"/>
      <c r="C45" s="158">
        <v>45782</v>
      </c>
      <c r="D45" s="73" t="s">
        <v>1368</v>
      </c>
      <c r="E45" s="156">
        <v>7.9</v>
      </c>
      <c r="F45" s="156"/>
      <c r="G45" s="225">
        <f t="shared" ref="G45:G51" si="14">G46-E45+F45</f>
        <v>4528.5800000000008</v>
      </c>
      <c r="H45" s="32"/>
      <c r="I45" s="13" t="s">
        <v>1369</v>
      </c>
      <c r="J45" s="47"/>
      <c r="K45" s="43"/>
      <c r="L45" s="38"/>
      <c r="M45" s="71"/>
      <c r="N45" s="39"/>
      <c r="O45" s="39"/>
      <c r="P45" s="39"/>
      <c r="Q45" s="72"/>
      <c r="R45" s="44"/>
      <c r="S45" s="44"/>
      <c r="T45" s="44"/>
      <c r="U45" s="44"/>
      <c r="V45" s="40"/>
      <c r="W45" s="40"/>
      <c r="X45" s="45"/>
      <c r="Y45" s="45"/>
      <c r="Z45" s="45">
        <v>7.9</v>
      </c>
      <c r="AA45" s="45"/>
      <c r="AB45" s="41"/>
      <c r="AC45" s="41"/>
      <c r="AD45" s="41"/>
      <c r="AE45" s="41"/>
      <c r="AF45" s="41"/>
      <c r="AG45" s="41"/>
      <c r="AH45" s="42"/>
      <c r="AI45" s="42"/>
      <c r="AJ45" s="42"/>
      <c r="AK45" s="42"/>
      <c r="AL45" s="42"/>
      <c r="AM45" s="42"/>
      <c r="AN45" s="37"/>
      <c r="AO45" s="26"/>
    </row>
    <row r="46" spans="1:41" ht="24.9" customHeight="1" x14ac:dyDescent="0.25">
      <c r="A46" s="222" t="str">
        <f>IF(ABS(SUM(L46:AN46))&lt;&gt;SUM(E46:F46),"A Distribuer","Ok")</f>
        <v>Ok</v>
      </c>
      <c r="B46" s="36"/>
      <c r="C46" s="415">
        <v>45779</v>
      </c>
      <c r="D46" s="413" t="s">
        <v>1493</v>
      </c>
      <c r="E46" s="414"/>
      <c r="F46" s="414">
        <v>30</v>
      </c>
      <c r="G46" s="225">
        <f t="shared" si="14"/>
        <v>4536.4800000000005</v>
      </c>
      <c r="H46" s="32"/>
      <c r="I46" s="13" t="s">
        <v>1494</v>
      </c>
      <c r="J46" s="47"/>
      <c r="K46" s="43"/>
      <c r="L46" s="38"/>
      <c r="M46" s="71"/>
      <c r="N46" s="39"/>
      <c r="O46" s="39"/>
      <c r="P46" s="39"/>
      <c r="Q46" s="72"/>
      <c r="R46" s="44"/>
      <c r="S46" s="44"/>
      <c r="T46" s="44"/>
      <c r="U46" s="44"/>
      <c r="V46" s="40"/>
      <c r="W46" s="40"/>
      <c r="X46" s="45"/>
      <c r="Y46" s="45"/>
      <c r="Z46" s="45"/>
      <c r="AA46" s="45"/>
      <c r="AB46" s="41"/>
      <c r="AC46" s="41"/>
      <c r="AD46" s="41"/>
      <c r="AE46" s="41"/>
      <c r="AF46" s="41"/>
      <c r="AG46" s="41">
        <v>30</v>
      </c>
      <c r="AH46" s="42"/>
      <c r="AI46" s="42"/>
      <c r="AJ46" s="42"/>
      <c r="AK46" s="42"/>
      <c r="AL46" s="42"/>
      <c r="AM46" s="42"/>
      <c r="AN46" s="37"/>
      <c r="AO46" s="26"/>
    </row>
    <row r="47" spans="1:41" ht="24.9" customHeight="1" x14ac:dyDescent="0.25">
      <c r="A47" s="222" t="str">
        <f>IF(ABS(SUM(L47:AN47))&lt;&gt;SUM(E47:F47),"A Distribuer","Ok")</f>
        <v>Ok</v>
      </c>
      <c r="B47" s="36"/>
      <c r="C47" s="415">
        <v>45777</v>
      </c>
      <c r="D47" s="73" t="s">
        <v>1375</v>
      </c>
      <c r="E47" s="156">
        <v>95.23</v>
      </c>
      <c r="F47" s="156"/>
      <c r="G47" s="225">
        <f t="shared" si="14"/>
        <v>4506.4800000000005</v>
      </c>
      <c r="H47" s="32"/>
      <c r="I47" s="13" t="s">
        <v>1408</v>
      </c>
      <c r="J47" s="47"/>
      <c r="K47" s="43"/>
      <c r="L47" s="38"/>
      <c r="M47" s="71"/>
      <c r="N47" s="39"/>
      <c r="O47" s="39"/>
      <c r="P47" s="39"/>
      <c r="Q47" s="72"/>
      <c r="R47" s="44"/>
      <c r="S47" s="44"/>
      <c r="T47" s="44"/>
      <c r="U47" s="44"/>
      <c r="V47" s="40"/>
      <c r="W47" s="40"/>
      <c r="X47" s="45"/>
      <c r="Y47" s="45"/>
      <c r="Z47" s="45">
        <v>73.25</v>
      </c>
      <c r="AA47" s="45"/>
      <c r="AB47" s="41"/>
      <c r="AC47" s="41"/>
      <c r="AD47" s="41"/>
      <c r="AE47" s="41"/>
      <c r="AF47" s="41"/>
      <c r="AG47" s="41"/>
      <c r="AH47" s="42">
        <v>21.98</v>
      </c>
      <c r="AI47" s="42"/>
      <c r="AJ47" s="42"/>
      <c r="AK47" s="42"/>
      <c r="AL47" s="42"/>
      <c r="AM47" s="42"/>
      <c r="AN47" s="37"/>
      <c r="AO47" s="26"/>
    </row>
    <row r="48" spans="1:41" ht="24.9" customHeight="1" x14ac:dyDescent="0.25">
      <c r="A48" s="222" t="str">
        <f t="shared" ref="A48:A56" si="15">IF(ABS(SUM(L48:AN48))&lt;&gt;SUM(E48:F48),"A Distribuer","Ok")</f>
        <v>Ok</v>
      </c>
      <c r="B48" s="36"/>
      <c r="C48" s="415">
        <v>45777</v>
      </c>
      <c r="D48" s="73" t="s">
        <v>879</v>
      </c>
      <c r="E48" s="156">
        <v>28.4</v>
      </c>
      <c r="F48" s="156"/>
      <c r="G48" s="225">
        <f t="shared" si="14"/>
        <v>4601.71</v>
      </c>
      <c r="H48" s="32"/>
      <c r="I48" s="13" t="s">
        <v>1167</v>
      </c>
      <c r="J48" s="47"/>
      <c r="K48" s="43"/>
      <c r="L48" s="38"/>
      <c r="M48" s="71"/>
      <c r="N48" s="39"/>
      <c r="O48" s="39"/>
      <c r="P48" s="39"/>
      <c r="Q48" s="72"/>
      <c r="R48" s="44"/>
      <c r="S48" s="44"/>
      <c r="T48" s="44"/>
      <c r="U48" s="44"/>
      <c r="V48" s="40"/>
      <c r="W48" s="40"/>
      <c r="X48" s="45"/>
      <c r="Y48" s="45"/>
      <c r="Z48" s="45"/>
      <c r="AA48" s="45"/>
      <c r="AB48" s="41"/>
      <c r="AC48" s="41"/>
      <c r="AD48" s="41"/>
      <c r="AE48" s="41"/>
      <c r="AF48" s="41"/>
      <c r="AG48" s="41"/>
      <c r="AH48" s="42"/>
      <c r="AI48" s="42"/>
      <c r="AJ48" s="42"/>
      <c r="AK48" s="42">
        <v>28.4</v>
      </c>
      <c r="AL48" s="42"/>
      <c r="AM48" s="42"/>
      <c r="AN48" s="37"/>
      <c r="AO48" s="26"/>
    </row>
    <row r="49" spans="1:41" ht="24.9" customHeight="1" x14ac:dyDescent="0.25">
      <c r="A49" s="222" t="str">
        <f>IF(ABS(SUM(L49:AN49))&lt;&gt;SUM(E49:F49),"A Distribuer","Ok")</f>
        <v>Ok</v>
      </c>
      <c r="B49" s="36"/>
      <c r="C49" s="415">
        <v>45777</v>
      </c>
      <c r="D49" s="73" t="s">
        <v>1373</v>
      </c>
      <c r="E49" s="156">
        <v>23.9</v>
      </c>
      <c r="F49" s="156"/>
      <c r="G49" s="225">
        <f t="shared" si="14"/>
        <v>4630.1099999999997</v>
      </c>
      <c r="H49" s="32"/>
      <c r="I49" s="13" t="s">
        <v>1374</v>
      </c>
      <c r="J49" s="47"/>
      <c r="K49" s="43"/>
      <c r="L49" s="38"/>
      <c r="M49" s="71"/>
      <c r="N49" s="39"/>
      <c r="O49" s="39"/>
      <c r="P49" s="39"/>
      <c r="Q49" s="72"/>
      <c r="R49" s="44"/>
      <c r="S49" s="44"/>
      <c r="T49" s="44"/>
      <c r="U49" s="44"/>
      <c r="V49" s="40"/>
      <c r="W49" s="40"/>
      <c r="X49" s="45"/>
      <c r="Y49" s="45"/>
      <c r="Z49" s="45">
        <v>23.9</v>
      </c>
      <c r="AA49" s="45"/>
      <c r="AB49" s="41"/>
      <c r="AC49" s="41"/>
      <c r="AD49" s="41"/>
      <c r="AE49" s="41"/>
      <c r="AF49" s="41"/>
      <c r="AG49" s="41"/>
      <c r="AH49" s="42"/>
      <c r="AI49" s="42"/>
      <c r="AJ49" s="42"/>
      <c r="AK49" s="42"/>
      <c r="AL49" s="42"/>
      <c r="AM49" s="42"/>
      <c r="AN49" s="37"/>
      <c r="AO49" s="26"/>
    </row>
    <row r="50" spans="1:41" ht="24.9" customHeight="1" x14ac:dyDescent="0.25">
      <c r="A50" s="222" t="str">
        <f>IF(ABS(SUM(L50:AN50))&lt;&gt;SUM(E50:F50),"A Distribuer","Ok")</f>
        <v>Ok</v>
      </c>
      <c r="B50" s="36"/>
      <c r="C50" s="415">
        <v>45777</v>
      </c>
      <c r="D50" s="413" t="s">
        <v>1491</v>
      </c>
      <c r="E50" s="414"/>
      <c r="F50" s="414">
        <v>20</v>
      </c>
      <c r="G50" s="225">
        <f t="shared" si="14"/>
        <v>4654.0099999999993</v>
      </c>
      <c r="H50" s="32"/>
      <c r="I50" s="13" t="s">
        <v>1492</v>
      </c>
      <c r="J50" s="47"/>
      <c r="K50" s="43"/>
      <c r="L50" s="38"/>
      <c r="M50" s="71"/>
      <c r="N50" s="39"/>
      <c r="O50" s="39"/>
      <c r="P50" s="39"/>
      <c r="Q50" s="72"/>
      <c r="R50" s="44"/>
      <c r="S50" s="44"/>
      <c r="T50" s="44"/>
      <c r="U50" s="44"/>
      <c r="V50" s="40"/>
      <c r="W50" s="40"/>
      <c r="X50" s="45"/>
      <c r="Y50" s="45"/>
      <c r="Z50" s="45"/>
      <c r="AA50" s="45"/>
      <c r="AB50" s="41"/>
      <c r="AC50" s="41"/>
      <c r="AD50" s="41"/>
      <c r="AE50" s="41"/>
      <c r="AF50" s="41"/>
      <c r="AG50" s="41">
        <v>20</v>
      </c>
      <c r="AH50" s="42"/>
      <c r="AI50" s="42"/>
      <c r="AJ50" s="42"/>
      <c r="AK50" s="42"/>
      <c r="AL50" s="42"/>
      <c r="AM50" s="42"/>
      <c r="AN50" s="37"/>
      <c r="AO50" s="26"/>
    </row>
    <row r="51" spans="1:41" ht="24.9" customHeight="1" x14ac:dyDescent="0.25">
      <c r="A51" s="222" t="str">
        <f>IF(ABS(SUM(L51:AN51))&lt;&gt;SUM(E51:F51),"A Distribuer","Ok")</f>
        <v>Ok</v>
      </c>
      <c r="B51" s="36"/>
      <c r="C51" s="158">
        <v>45775</v>
      </c>
      <c r="D51" s="73" t="s">
        <v>1418</v>
      </c>
      <c r="E51" s="156">
        <v>74</v>
      </c>
      <c r="F51" s="156"/>
      <c r="G51" s="225">
        <f t="shared" si="14"/>
        <v>4634.0099999999993</v>
      </c>
      <c r="H51" s="32"/>
      <c r="I51" s="13" t="s">
        <v>1419</v>
      </c>
      <c r="J51" s="47"/>
      <c r="K51" s="43"/>
      <c r="L51" s="38"/>
      <c r="M51" s="71"/>
      <c r="N51" s="39"/>
      <c r="O51" s="39"/>
      <c r="P51" s="39"/>
      <c r="Q51" s="72"/>
      <c r="R51" s="44"/>
      <c r="S51" s="44"/>
      <c r="T51" s="44"/>
      <c r="U51" s="44"/>
      <c r="V51" s="40"/>
      <c r="W51" s="40"/>
      <c r="X51" s="45"/>
      <c r="Y51" s="45"/>
      <c r="Z51" s="45"/>
      <c r="AA51" s="45"/>
      <c r="AB51" s="41"/>
      <c r="AC51" s="41">
        <v>74</v>
      </c>
      <c r="AD51" s="41"/>
      <c r="AE51" s="41"/>
      <c r="AF51" s="41"/>
      <c r="AG51" s="41"/>
      <c r="AH51" s="42"/>
      <c r="AI51" s="42"/>
      <c r="AJ51" s="42"/>
      <c r="AK51" s="42"/>
      <c r="AL51" s="42"/>
      <c r="AM51" s="42"/>
      <c r="AN51" s="37"/>
      <c r="AO51" s="26"/>
    </row>
    <row r="52" spans="1:41" ht="24.9" customHeight="1" x14ac:dyDescent="0.25">
      <c r="A52" s="222" t="str">
        <f t="shared" si="15"/>
        <v>Ok</v>
      </c>
      <c r="B52" s="36"/>
      <c r="C52" s="158">
        <v>45775</v>
      </c>
      <c r="D52" s="73" t="s">
        <v>1478</v>
      </c>
      <c r="E52" s="156"/>
      <c r="F52" s="156">
        <v>1800</v>
      </c>
      <c r="G52" s="225">
        <f t="shared" ref="G52:G64" si="16">G53-E52+F52</f>
        <v>4708.0099999999993</v>
      </c>
      <c r="H52" s="32"/>
      <c r="I52" s="13" t="s">
        <v>1479</v>
      </c>
      <c r="J52" s="47"/>
      <c r="K52" s="43"/>
      <c r="L52" s="38"/>
      <c r="M52" s="71"/>
      <c r="N52" s="39"/>
      <c r="O52" s="39"/>
      <c r="P52" s="39"/>
      <c r="Q52" s="72">
        <v>1800</v>
      </c>
      <c r="R52" s="44"/>
      <c r="S52" s="44"/>
      <c r="T52" s="44"/>
      <c r="U52" s="44"/>
      <c r="V52" s="40"/>
      <c r="W52" s="40"/>
      <c r="X52" s="45"/>
      <c r="Y52" s="45"/>
      <c r="Z52" s="45"/>
      <c r="AA52" s="45"/>
      <c r="AB52" s="41"/>
      <c r="AC52" s="41"/>
      <c r="AD52" s="41"/>
      <c r="AE52" s="41"/>
      <c r="AF52" s="41"/>
      <c r="AG52" s="41"/>
      <c r="AH52" s="42"/>
      <c r="AI52" s="42"/>
      <c r="AJ52" s="42"/>
      <c r="AK52" s="42"/>
      <c r="AL52" s="42"/>
      <c r="AM52" s="42"/>
      <c r="AN52" s="37"/>
      <c r="AO52" s="26"/>
    </row>
    <row r="53" spans="1:41" ht="24.9" customHeight="1" x14ac:dyDescent="0.25">
      <c r="A53" s="222" t="str">
        <f t="shared" si="15"/>
        <v>Ok</v>
      </c>
      <c r="B53" s="36"/>
      <c r="C53" s="158">
        <v>45774</v>
      </c>
      <c r="D53" s="73" t="s">
        <v>1476</v>
      </c>
      <c r="E53" s="156"/>
      <c r="F53" s="156">
        <v>60</v>
      </c>
      <c r="G53" s="225">
        <f t="shared" si="16"/>
        <v>2908.0099999999993</v>
      </c>
      <c r="H53" s="32"/>
      <c r="I53" s="13" t="s">
        <v>1477</v>
      </c>
      <c r="J53" s="47"/>
      <c r="K53" s="43"/>
      <c r="L53" s="38"/>
      <c r="M53" s="71"/>
      <c r="N53" s="39"/>
      <c r="O53" s="39"/>
      <c r="P53" s="39"/>
      <c r="Q53" s="72"/>
      <c r="R53" s="44"/>
      <c r="S53" s="44"/>
      <c r="T53" s="44"/>
      <c r="U53" s="44"/>
      <c r="V53" s="40"/>
      <c r="W53" s="40"/>
      <c r="X53" s="45"/>
      <c r="Y53" s="45"/>
      <c r="Z53" s="45"/>
      <c r="AA53" s="45"/>
      <c r="AB53" s="41"/>
      <c r="AC53" s="41"/>
      <c r="AD53" s="41"/>
      <c r="AE53" s="41"/>
      <c r="AF53" s="41"/>
      <c r="AG53" s="41">
        <v>60</v>
      </c>
      <c r="AH53" s="42"/>
      <c r="AI53" s="42"/>
      <c r="AJ53" s="42"/>
      <c r="AK53" s="42"/>
      <c r="AL53" s="42"/>
      <c r="AM53" s="42"/>
      <c r="AN53" s="37"/>
      <c r="AO53" s="26"/>
    </row>
    <row r="54" spans="1:41" ht="24.9" customHeight="1" x14ac:dyDescent="0.25">
      <c r="A54" s="222" t="str">
        <f t="shared" si="15"/>
        <v>Ok</v>
      </c>
      <c r="B54" s="36"/>
      <c r="C54" s="158">
        <v>45770</v>
      </c>
      <c r="D54" s="73" t="s">
        <v>1409</v>
      </c>
      <c r="E54" s="156">
        <v>520.29</v>
      </c>
      <c r="F54" s="156"/>
      <c r="G54" s="225">
        <f t="shared" si="16"/>
        <v>2848.0099999999993</v>
      </c>
      <c r="H54" s="32"/>
      <c r="I54" s="13" t="s">
        <v>1410</v>
      </c>
      <c r="J54" s="47"/>
      <c r="K54" s="43"/>
      <c r="L54" s="38"/>
      <c r="M54" s="71"/>
      <c r="N54" s="39"/>
      <c r="O54" s="39"/>
      <c r="P54" s="39"/>
      <c r="Q54" s="72"/>
      <c r="R54" s="44"/>
      <c r="S54" s="44"/>
      <c r="T54" s="44"/>
      <c r="U54" s="44"/>
      <c r="V54" s="40"/>
      <c r="W54" s="40"/>
      <c r="X54" s="45"/>
      <c r="Y54" s="45"/>
      <c r="Z54" s="45"/>
      <c r="AA54" s="45"/>
      <c r="AB54" s="41"/>
      <c r="AC54" s="41">
        <v>520.29</v>
      </c>
      <c r="AD54" s="41"/>
      <c r="AE54" s="41"/>
      <c r="AF54" s="41"/>
      <c r="AG54" s="41"/>
      <c r="AH54" s="42"/>
      <c r="AI54" s="42"/>
      <c r="AJ54" s="42"/>
      <c r="AK54" s="42"/>
      <c r="AL54" s="42"/>
      <c r="AM54" s="42"/>
      <c r="AN54" s="37"/>
      <c r="AO54" s="26"/>
    </row>
    <row r="55" spans="1:41" ht="24.9" customHeight="1" x14ac:dyDescent="0.25">
      <c r="A55" s="222" t="str">
        <f t="shared" si="15"/>
        <v>Ok</v>
      </c>
      <c r="B55" s="36"/>
      <c r="C55" s="158">
        <v>45738</v>
      </c>
      <c r="D55" s="73" t="s">
        <v>1407</v>
      </c>
      <c r="E55" s="156"/>
      <c r="F55" s="156">
        <v>1164.5</v>
      </c>
      <c r="G55" s="225">
        <f t="shared" si="16"/>
        <v>3368.2999999999993</v>
      </c>
      <c r="H55" s="32"/>
      <c r="I55" s="13" t="s">
        <v>1371</v>
      </c>
      <c r="J55" s="47"/>
      <c r="K55" s="43"/>
      <c r="L55" s="38"/>
      <c r="M55" s="71"/>
      <c r="N55" s="39"/>
      <c r="O55" s="39"/>
      <c r="P55" s="39"/>
      <c r="Q55" s="72"/>
      <c r="R55" s="44"/>
      <c r="S55" s="44"/>
      <c r="T55" s="44"/>
      <c r="U55" s="44"/>
      <c r="V55" s="40"/>
      <c r="W55" s="40"/>
      <c r="X55" s="45"/>
      <c r="Y55" s="45"/>
      <c r="Z55" s="45"/>
      <c r="AA55" s="45">
        <v>1164.5</v>
      </c>
      <c r="AB55" s="41"/>
      <c r="AC55" s="41"/>
      <c r="AD55" s="41"/>
      <c r="AE55" s="41"/>
      <c r="AF55" s="41"/>
      <c r="AG55" s="41"/>
      <c r="AH55" s="42"/>
      <c r="AI55" s="42"/>
      <c r="AJ55" s="42"/>
      <c r="AK55" s="42"/>
      <c r="AL55" s="42"/>
      <c r="AM55" s="42"/>
      <c r="AN55" s="37"/>
      <c r="AO55" s="26"/>
    </row>
    <row r="56" spans="1:41" ht="24.9" customHeight="1" x14ac:dyDescent="0.25">
      <c r="A56" s="222" t="str">
        <f t="shared" si="15"/>
        <v>Ok</v>
      </c>
      <c r="B56" s="36"/>
      <c r="C56" s="158">
        <v>45769</v>
      </c>
      <c r="D56" s="73" t="s">
        <v>1223</v>
      </c>
      <c r="E56" s="156">
        <v>145.29</v>
      </c>
      <c r="F56" s="156"/>
      <c r="G56" s="225">
        <f t="shared" si="16"/>
        <v>2203.7999999999993</v>
      </c>
      <c r="H56" s="32"/>
      <c r="I56" s="13" t="s">
        <v>1224</v>
      </c>
      <c r="J56" s="47"/>
      <c r="K56" s="43"/>
      <c r="L56" s="38"/>
      <c r="M56" s="71"/>
      <c r="N56" s="39"/>
      <c r="O56" s="39"/>
      <c r="P56" s="39"/>
      <c r="Q56" s="72"/>
      <c r="R56" s="44"/>
      <c r="S56" s="44"/>
      <c r="T56" s="44"/>
      <c r="U56" s="44"/>
      <c r="V56" s="40"/>
      <c r="W56" s="40"/>
      <c r="X56" s="45"/>
      <c r="Y56" s="45"/>
      <c r="Z56" s="45">
        <v>136.94</v>
      </c>
      <c r="AA56" s="45"/>
      <c r="AB56" s="41"/>
      <c r="AC56" s="41"/>
      <c r="AD56" s="41"/>
      <c r="AE56" s="41"/>
      <c r="AF56" s="41"/>
      <c r="AG56" s="41"/>
      <c r="AH56" s="42">
        <v>8.35</v>
      </c>
      <c r="AI56" s="42"/>
      <c r="AJ56" s="42"/>
      <c r="AK56" s="42"/>
      <c r="AL56" s="42"/>
      <c r="AM56" s="42"/>
      <c r="AN56" s="37"/>
      <c r="AO56" s="26"/>
    </row>
    <row r="57" spans="1:41" ht="24.9" customHeight="1" x14ac:dyDescent="0.25">
      <c r="A57" s="222" t="str">
        <f>IF(ABS(SUM(L57:AO57))&lt;&gt;SUM(E57:F57),"A Distribuer","Ok")</f>
        <v>Ok</v>
      </c>
      <c r="B57" s="36"/>
      <c r="C57" s="415">
        <v>45765</v>
      </c>
      <c r="D57" s="413" t="s">
        <v>1402</v>
      </c>
      <c r="E57" s="414">
        <v>80</v>
      </c>
      <c r="F57" s="414"/>
      <c r="G57" s="225">
        <f t="shared" si="16"/>
        <v>2349.0899999999992</v>
      </c>
      <c r="H57" s="32"/>
      <c r="I57" s="13" t="s">
        <v>1403</v>
      </c>
      <c r="J57" s="47"/>
      <c r="K57" s="43"/>
      <c r="L57" s="38"/>
      <c r="M57" s="71"/>
      <c r="N57" s="39"/>
      <c r="O57" s="39"/>
      <c r="P57" s="39"/>
      <c r="Q57" s="72"/>
      <c r="R57" s="44"/>
      <c r="S57" s="44"/>
      <c r="T57" s="44"/>
      <c r="U57" s="44"/>
      <c r="V57" s="40"/>
      <c r="W57" s="40"/>
      <c r="X57" s="45"/>
      <c r="Y57" s="45"/>
      <c r="Z57" s="45"/>
      <c r="AA57" s="45"/>
      <c r="AB57" s="41"/>
      <c r="AC57" s="41"/>
      <c r="AD57" s="41"/>
      <c r="AE57" s="41"/>
      <c r="AF57" s="41"/>
      <c r="AG57" s="41"/>
      <c r="AH57" s="42"/>
      <c r="AI57" s="42"/>
      <c r="AJ57" s="42"/>
      <c r="AK57" s="42"/>
      <c r="AL57" s="42"/>
      <c r="AM57" s="42"/>
      <c r="AN57" s="37"/>
      <c r="AO57" s="26">
        <v>80</v>
      </c>
    </row>
    <row r="58" spans="1:41" ht="24.9" customHeight="1" x14ac:dyDescent="0.25">
      <c r="A58" s="222" t="str">
        <f>IF(ABS(SUM(L58:AO58))&lt;&gt;SUM(E58:F58),"A Distribuer","Ok")</f>
        <v>Ok</v>
      </c>
      <c r="B58" s="36"/>
      <c r="C58" s="415">
        <v>45765</v>
      </c>
      <c r="D58" s="413" t="s">
        <v>1401</v>
      </c>
      <c r="E58" s="414">
        <v>80</v>
      </c>
      <c r="F58" s="414"/>
      <c r="G58" s="225">
        <f t="shared" si="16"/>
        <v>2429.0899999999992</v>
      </c>
      <c r="H58" s="32"/>
      <c r="I58" s="13" t="s">
        <v>1403</v>
      </c>
      <c r="J58" s="47"/>
      <c r="K58" s="43"/>
      <c r="L58" s="38"/>
      <c r="M58" s="71"/>
      <c r="N58" s="39"/>
      <c r="O58" s="39"/>
      <c r="P58" s="39"/>
      <c r="Q58" s="72"/>
      <c r="R58" s="44"/>
      <c r="S58" s="44"/>
      <c r="T58" s="44"/>
      <c r="U58" s="44"/>
      <c r="V58" s="40"/>
      <c r="W58" s="40"/>
      <c r="X58" s="45"/>
      <c r="Y58" s="45"/>
      <c r="Z58" s="45"/>
      <c r="AA58" s="45"/>
      <c r="AB58" s="41"/>
      <c r="AC58" s="41"/>
      <c r="AD58" s="41"/>
      <c r="AE58" s="41"/>
      <c r="AF58" s="41"/>
      <c r="AG58" s="41"/>
      <c r="AH58" s="42"/>
      <c r="AI58" s="42"/>
      <c r="AJ58" s="42"/>
      <c r="AK58" s="42"/>
      <c r="AL58" s="42"/>
      <c r="AM58" s="42"/>
      <c r="AN58" s="37"/>
      <c r="AO58" s="26">
        <v>80</v>
      </c>
    </row>
    <row r="59" spans="1:41" ht="24.9" customHeight="1" x14ac:dyDescent="0.25">
      <c r="A59" s="222" t="str">
        <f>IF(ABS(SUM(L59:AO59))&lt;&gt;SUM(E59:F59),"A Distribuer","Ok")</f>
        <v>Ok</v>
      </c>
      <c r="B59" s="36"/>
      <c r="C59" s="415">
        <v>45765</v>
      </c>
      <c r="D59" s="413" t="s">
        <v>1400</v>
      </c>
      <c r="E59" s="414">
        <v>80</v>
      </c>
      <c r="F59" s="414"/>
      <c r="G59" s="225">
        <f t="shared" si="16"/>
        <v>2509.0899999999992</v>
      </c>
      <c r="H59" s="32"/>
      <c r="I59" s="13" t="s">
        <v>1403</v>
      </c>
      <c r="J59" s="47"/>
      <c r="K59" s="43"/>
      <c r="L59" s="38"/>
      <c r="M59" s="71"/>
      <c r="N59" s="39"/>
      <c r="O59" s="39"/>
      <c r="P59" s="39"/>
      <c r="Q59" s="72"/>
      <c r="R59" s="44"/>
      <c r="S59" s="44"/>
      <c r="T59" s="44"/>
      <c r="U59" s="44"/>
      <c r="V59" s="40"/>
      <c r="W59" s="40"/>
      <c r="X59" s="45"/>
      <c r="Y59" s="45"/>
      <c r="Z59" s="45"/>
      <c r="AA59" s="45"/>
      <c r="AB59" s="41"/>
      <c r="AC59" s="41"/>
      <c r="AD59" s="41"/>
      <c r="AE59" s="41"/>
      <c r="AF59" s="41"/>
      <c r="AG59" s="41"/>
      <c r="AH59" s="42"/>
      <c r="AI59" s="42"/>
      <c r="AJ59" s="42"/>
      <c r="AK59" s="42"/>
      <c r="AL59" s="42"/>
      <c r="AM59" s="42"/>
      <c r="AN59" s="37"/>
      <c r="AO59" s="26">
        <v>80</v>
      </c>
    </row>
    <row r="60" spans="1:41" ht="24.9" customHeight="1" x14ac:dyDescent="0.25">
      <c r="A60" s="222" t="str">
        <f t="shared" ref="A60:A68" si="17">IF(ABS(SUM(L60:AN60))&lt;&gt;SUM(E60:F60),"A Distribuer","Ok")</f>
        <v>Ok</v>
      </c>
      <c r="B60" s="36"/>
      <c r="C60" s="415">
        <v>45764</v>
      </c>
      <c r="D60" s="413" t="s">
        <v>1397</v>
      </c>
      <c r="E60" s="414"/>
      <c r="F60" s="414">
        <v>30</v>
      </c>
      <c r="G60" s="225">
        <f t="shared" si="16"/>
        <v>2589.0899999999992</v>
      </c>
      <c r="H60" s="32"/>
      <c r="I60" s="13" t="s">
        <v>1398</v>
      </c>
      <c r="J60" s="47"/>
      <c r="K60" s="43"/>
      <c r="L60" s="38"/>
      <c r="M60" s="71"/>
      <c r="N60" s="39"/>
      <c r="O60" s="39"/>
      <c r="P60" s="39"/>
      <c r="Q60" s="72"/>
      <c r="R60" s="44"/>
      <c r="S60" s="44"/>
      <c r="T60" s="44"/>
      <c r="U60" s="44"/>
      <c r="V60" s="40"/>
      <c r="W60" s="40"/>
      <c r="X60" s="45"/>
      <c r="Y60" s="45"/>
      <c r="Z60" s="45"/>
      <c r="AA60" s="45"/>
      <c r="AB60" s="41"/>
      <c r="AC60" s="41"/>
      <c r="AD60" s="41"/>
      <c r="AE60" s="41"/>
      <c r="AF60" s="41"/>
      <c r="AG60" s="41">
        <v>30</v>
      </c>
      <c r="AH60" s="42"/>
      <c r="AI60" s="42"/>
      <c r="AJ60" s="42"/>
      <c r="AK60" s="42"/>
      <c r="AL60" s="42"/>
      <c r="AM60" s="42"/>
      <c r="AN60" s="37"/>
      <c r="AO60" s="26"/>
    </row>
    <row r="61" spans="1:41" ht="24.9" customHeight="1" x14ac:dyDescent="0.25">
      <c r="A61" s="222" t="str">
        <f t="shared" si="17"/>
        <v>Ok</v>
      </c>
      <c r="B61" s="36"/>
      <c r="C61" s="415">
        <v>45764</v>
      </c>
      <c r="D61" s="413" t="s">
        <v>1396</v>
      </c>
      <c r="E61" s="414"/>
      <c r="F61" s="414">
        <v>30</v>
      </c>
      <c r="G61" s="225">
        <f t="shared" si="16"/>
        <v>2559.0899999999992</v>
      </c>
      <c r="H61" s="32"/>
      <c r="I61" s="13" t="s">
        <v>1399</v>
      </c>
      <c r="J61" s="47"/>
      <c r="K61" s="43"/>
      <c r="L61" s="38"/>
      <c r="M61" s="71"/>
      <c r="N61" s="39"/>
      <c r="O61" s="39"/>
      <c r="P61" s="39"/>
      <c r="Q61" s="72"/>
      <c r="R61" s="44"/>
      <c r="S61" s="44"/>
      <c r="T61" s="44"/>
      <c r="U61" s="44"/>
      <c r="V61" s="40"/>
      <c r="W61" s="40"/>
      <c r="X61" s="45"/>
      <c r="Y61" s="45"/>
      <c r="Z61" s="45"/>
      <c r="AA61" s="45"/>
      <c r="AB61" s="41"/>
      <c r="AC61" s="41"/>
      <c r="AD61" s="41"/>
      <c r="AE61" s="41"/>
      <c r="AF61" s="41"/>
      <c r="AG61" s="41">
        <v>30</v>
      </c>
      <c r="AH61" s="42"/>
      <c r="AI61" s="42"/>
      <c r="AJ61" s="42"/>
      <c r="AK61" s="42"/>
      <c r="AL61" s="42"/>
      <c r="AM61" s="42"/>
      <c r="AN61" s="37"/>
      <c r="AO61" s="26"/>
    </row>
    <row r="62" spans="1:41" ht="24.9" customHeight="1" x14ac:dyDescent="0.25">
      <c r="A62" s="222" t="str">
        <f t="shared" si="17"/>
        <v>Ok</v>
      </c>
      <c r="B62" s="36"/>
      <c r="C62" s="415">
        <v>45764</v>
      </c>
      <c r="D62" s="413" t="s">
        <v>1395</v>
      </c>
      <c r="E62" s="414"/>
      <c r="F62" s="414">
        <v>156</v>
      </c>
      <c r="G62" s="225">
        <f t="shared" si="16"/>
        <v>2529.0899999999992</v>
      </c>
      <c r="H62" s="32"/>
      <c r="I62" s="13" t="s">
        <v>1371</v>
      </c>
      <c r="J62" s="47"/>
      <c r="K62" s="43"/>
      <c r="L62" s="38"/>
      <c r="M62" s="71"/>
      <c r="N62" s="39"/>
      <c r="O62" s="39"/>
      <c r="P62" s="39"/>
      <c r="Q62" s="72"/>
      <c r="R62" s="44"/>
      <c r="S62" s="44"/>
      <c r="T62" s="44"/>
      <c r="U62" s="44"/>
      <c r="V62" s="40"/>
      <c r="W62" s="40"/>
      <c r="X62" s="45"/>
      <c r="Y62" s="45"/>
      <c r="Z62" s="45"/>
      <c r="AA62" s="45">
        <v>156</v>
      </c>
      <c r="AB62" s="41"/>
      <c r="AC62" s="41"/>
      <c r="AD62" s="41"/>
      <c r="AE62" s="41"/>
      <c r="AF62" s="41"/>
      <c r="AG62" s="41"/>
      <c r="AH62" s="42"/>
      <c r="AI62" s="42"/>
      <c r="AJ62" s="42"/>
      <c r="AK62" s="42"/>
      <c r="AL62" s="42"/>
      <c r="AM62" s="42"/>
      <c r="AN62" s="37"/>
      <c r="AO62" s="26"/>
    </row>
    <row r="63" spans="1:41" ht="24.9" customHeight="1" x14ac:dyDescent="0.25">
      <c r="A63" s="222" t="str">
        <f t="shared" si="17"/>
        <v>Ok</v>
      </c>
      <c r="B63" s="36"/>
      <c r="C63" s="415">
        <v>45764</v>
      </c>
      <c r="D63" s="413" t="s">
        <v>1394</v>
      </c>
      <c r="E63" s="414"/>
      <c r="F63" s="414">
        <v>50</v>
      </c>
      <c r="G63" s="225">
        <f t="shared" si="16"/>
        <v>2373.0899999999992</v>
      </c>
      <c r="H63" s="32"/>
      <c r="I63" s="13" t="s">
        <v>1372</v>
      </c>
      <c r="J63" s="47"/>
      <c r="K63" s="43"/>
      <c r="L63" s="38"/>
      <c r="M63" s="71"/>
      <c r="N63" s="39"/>
      <c r="O63" s="39"/>
      <c r="P63" s="39"/>
      <c r="Q63" s="72"/>
      <c r="R63" s="44"/>
      <c r="S63" s="44"/>
      <c r="T63" s="44"/>
      <c r="U63" s="44"/>
      <c r="V63" s="40"/>
      <c r="W63" s="40"/>
      <c r="X63" s="45"/>
      <c r="Y63" s="45"/>
      <c r="Z63" s="45"/>
      <c r="AA63" s="45"/>
      <c r="AB63" s="41"/>
      <c r="AC63" s="41"/>
      <c r="AD63" s="41"/>
      <c r="AE63" s="41"/>
      <c r="AF63" s="41">
        <v>20</v>
      </c>
      <c r="AG63" s="41">
        <v>30</v>
      </c>
      <c r="AH63" s="42"/>
      <c r="AI63" s="42"/>
      <c r="AJ63" s="42"/>
      <c r="AK63" s="42"/>
      <c r="AL63" s="42"/>
      <c r="AM63" s="42"/>
      <c r="AN63" s="37"/>
      <c r="AO63" s="26"/>
    </row>
    <row r="64" spans="1:41" ht="24.9" customHeight="1" x14ac:dyDescent="0.25">
      <c r="A64" s="222" t="str">
        <f t="shared" si="17"/>
        <v>Ok</v>
      </c>
      <c r="B64" s="36"/>
      <c r="C64" s="415">
        <v>45764</v>
      </c>
      <c r="D64" s="413" t="s">
        <v>1393</v>
      </c>
      <c r="E64" s="414">
        <v>260.95</v>
      </c>
      <c r="F64" s="414"/>
      <c r="G64" s="225">
        <f t="shared" si="16"/>
        <v>2323.0899999999992</v>
      </c>
      <c r="H64" s="32"/>
      <c r="I64" s="13" t="s">
        <v>1532</v>
      </c>
      <c r="J64" s="47"/>
      <c r="K64" s="43"/>
      <c r="L64" s="38"/>
      <c r="M64" s="71"/>
      <c r="N64" s="39"/>
      <c r="O64" s="39"/>
      <c r="P64" s="39"/>
      <c r="Q64" s="72"/>
      <c r="R64" s="44"/>
      <c r="S64" s="44"/>
      <c r="T64" s="44"/>
      <c r="U64" s="44"/>
      <c r="V64" s="40"/>
      <c r="W64" s="40"/>
      <c r="X64" s="45"/>
      <c r="Y64" s="45"/>
      <c r="Z64" s="45"/>
      <c r="AA64" s="45"/>
      <c r="AB64" s="41"/>
      <c r="AC64" s="41"/>
      <c r="AD64" s="41"/>
      <c r="AE64" s="41"/>
      <c r="AF64" s="41"/>
      <c r="AG64" s="41"/>
      <c r="AH64" s="42"/>
      <c r="AI64" s="42"/>
      <c r="AJ64" s="42"/>
      <c r="AK64" s="42"/>
      <c r="AL64" s="42"/>
      <c r="AM64" s="42">
        <v>260.95</v>
      </c>
      <c r="AN64" s="37"/>
      <c r="AO64" s="26"/>
    </row>
    <row r="65" spans="1:41" ht="24.9" customHeight="1" x14ac:dyDescent="0.25">
      <c r="A65" s="222" t="str">
        <f t="shared" si="17"/>
        <v>Ok</v>
      </c>
      <c r="B65" s="36"/>
      <c r="C65" s="159">
        <v>45762</v>
      </c>
      <c r="D65" s="73" t="s">
        <v>1383</v>
      </c>
      <c r="E65" s="167"/>
      <c r="F65" s="167">
        <v>30</v>
      </c>
      <c r="G65" s="225">
        <f t="shared" ref="G65:G68" si="18">G66-E65+F65</f>
        <v>2584.0399999999991</v>
      </c>
      <c r="H65" s="32"/>
      <c r="I65" s="13" t="s">
        <v>1415</v>
      </c>
      <c r="J65" s="47"/>
      <c r="K65" s="43"/>
      <c r="L65" s="38"/>
      <c r="M65" s="71"/>
      <c r="N65" s="39"/>
      <c r="O65" s="39"/>
      <c r="P65" s="39"/>
      <c r="Q65" s="72"/>
      <c r="R65" s="44"/>
      <c r="S65" s="44"/>
      <c r="T65" s="44"/>
      <c r="U65" s="44"/>
      <c r="V65" s="40"/>
      <c r="W65" s="40"/>
      <c r="X65" s="45"/>
      <c r="Y65" s="45"/>
      <c r="Z65" s="45"/>
      <c r="AA65" s="45"/>
      <c r="AB65" s="41"/>
      <c r="AC65" s="41"/>
      <c r="AD65" s="41"/>
      <c r="AE65" s="41"/>
      <c r="AF65" s="41"/>
      <c r="AG65" s="41">
        <v>30</v>
      </c>
      <c r="AH65" s="42"/>
      <c r="AI65" s="42"/>
      <c r="AJ65" s="42"/>
      <c r="AK65" s="42"/>
      <c r="AL65" s="42"/>
      <c r="AM65" s="42"/>
      <c r="AN65" s="37"/>
      <c r="AO65" s="26"/>
    </row>
    <row r="66" spans="1:41" ht="24.9" customHeight="1" x14ac:dyDescent="0.25">
      <c r="A66" s="222" t="str">
        <f t="shared" si="17"/>
        <v>Ok</v>
      </c>
      <c r="B66" s="36"/>
      <c r="C66" s="159">
        <v>45762</v>
      </c>
      <c r="D66" s="73" t="s">
        <v>1384</v>
      </c>
      <c r="E66" s="167">
        <v>159</v>
      </c>
      <c r="F66" s="167"/>
      <c r="G66" s="225">
        <f t="shared" si="18"/>
        <v>2554.0399999999991</v>
      </c>
      <c r="H66" s="32"/>
      <c r="I66" s="13"/>
      <c r="J66" s="47"/>
      <c r="K66" s="43"/>
      <c r="L66" s="38"/>
      <c r="M66" s="71"/>
      <c r="N66" s="39"/>
      <c r="O66" s="39"/>
      <c r="P66" s="39">
        <v>159</v>
      </c>
      <c r="Q66" s="72"/>
      <c r="R66" s="44"/>
      <c r="S66" s="44"/>
      <c r="T66" s="44"/>
      <c r="U66" s="44"/>
      <c r="V66" s="40"/>
      <c r="W66" s="40"/>
      <c r="X66" s="45"/>
      <c r="Y66" s="45"/>
      <c r="Z66" s="45"/>
      <c r="AA66" s="45"/>
      <c r="AB66" s="41"/>
      <c r="AC66" s="41"/>
      <c r="AD66" s="41"/>
      <c r="AE66" s="41"/>
      <c r="AF66" s="41"/>
      <c r="AG66" s="41"/>
      <c r="AH66" s="42"/>
      <c r="AI66" s="42"/>
      <c r="AJ66" s="42"/>
      <c r="AK66" s="42"/>
      <c r="AL66" s="42"/>
      <c r="AM66" s="42"/>
      <c r="AN66" s="37"/>
      <c r="AO66" s="26"/>
    </row>
    <row r="67" spans="1:41" ht="24.9" customHeight="1" x14ac:dyDescent="0.25">
      <c r="A67" s="222" t="str">
        <f t="shared" si="17"/>
        <v>Ok</v>
      </c>
      <c r="B67" s="36"/>
      <c r="C67" s="159">
        <v>45762</v>
      </c>
      <c r="D67" s="73" t="s">
        <v>1381</v>
      </c>
      <c r="E67" s="167">
        <v>97</v>
      </c>
      <c r="F67" s="167"/>
      <c r="G67" s="225">
        <f t="shared" si="18"/>
        <v>2713.0399999999991</v>
      </c>
      <c r="H67" s="32"/>
      <c r="I67" s="13" t="s">
        <v>1382</v>
      </c>
      <c r="J67" s="47"/>
      <c r="K67" s="43"/>
      <c r="L67" s="38"/>
      <c r="M67" s="71"/>
      <c r="N67" s="39"/>
      <c r="O67" s="39"/>
      <c r="P67" s="39"/>
      <c r="Q67" s="72"/>
      <c r="R67" s="44">
        <v>97</v>
      </c>
      <c r="S67" s="44"/>
      <c r="T67" s="44"/>
      <c r="U67" s="44"/>
      <c r="V67" s="40"/>
      <c r="W67" s="40"/>
      <c r="X67" s="45"/>
      <c r="Y67" s="45"/>
      <c r="Z67" s="45"/>
      <c r="AA67" s="45"/>
      <c r="AB67" s="41"/>
      <c r="AC67" s="41"/>
      <c r="AD67" s="41"/>
      <c r="AE67" s="41"/>
      <c r="AF67" s="41"/>
      <c r="AG67" s="41"/>
      <c r="AH67" s="42"/>
      <c r="AI67" s="42"/>
      <c r="AJ67" s="42"/>
      <c r="AK67" s="42"/>
      <c r="AL67" s="42"/>
      <c r="AM67" s="42"/>
      <c r="AN67" s="37"/>
      <c r="AO67" s="26"/>
    </row>
    <row r="68" spans="1:41" ht="24.9" customHeight="1" x14ac:dyDescent="0.25">
      <c r="A68" s="222" t="str">
        <f t="shared" si="17"/>
        <v>Ok</v>
      </c>
      <c r="B68" s="36"/>
      <c r="C68" s="159">
        <v>45757</v>
      </c>
      <c r="D68" s="73" t="s">
        <v>1380</v>
      </c>
      <c r="E68" s="167">
        <v>3.75</v>
      </c>
      <c r="F68" s="167"/>
      <c r="G68" s="225">
        <f t="shared" si="18"/>
        <v>2810.0399999999991</v>
      </c>
      <c r="H68" s="32"/>
      <c r="I68" s="13" t="s">
        <v>1379</v>
      </c>
      <c r="J68" s="47"/>
      <c r="K68" s="43"/>
      <c r="L68" s="38"/>
      <c r="M68" s="71"/>
      <c r="N68" s="39"/>
      <c r="O68" s="39"/>
      <c r="P68" s="39"/>
      <c r="Q68" s="72"/>
      <c r="R68" s="44"/>
      <c r="S68" s="44"/>
      <c r="T68" s="44"/>
      <c r="U68" s="44"/>
      <c r="V68" s="40"/>
      <c r="W68" s="40"/>
      <c r="X68" s="45"/>
      <c r="Y68" s="45"/>
      <c r="Z68" s="45"/>
      <c r="AA68" s="45"/>
      <c r="AB68" s="41"/>
      <c r="AC68" s="41"/>
      <c r="AD68" s="41"/>
      <c r="AE68" s="41"/>
      <c r="AF68" s="41"/>
      <c r="AG68" s="41"/>
      <c r="AH68" s="42"/>
      <c r="AI68" s="42"/>
      <c r="AJ68" s="42">
        <v>3.75</v>
      </c>
      <c r="AK68" s="42"/>
      <c r="AL68" s="42"/>
      <c r="AM68" s="42"/>
      <c r="AN68" s="37"/>
      <c r="AO68" s="26"/>
    </row>
    <row r="69" spans="1:41" ht="24.9" customHeight="1" x14ac:dyDescent="0.25">
      <c r="A69" s="222" t="str">
        <f t="shared" ref="A69:A70" si="19">IF(ABS(SUM(L69:AN69))&lt;&gt;SUM(E69:F69),"A Distribuer","Ok")</f>
        <v>Ok</v>
      </c>
      <c r="B69" s="36"/>
      <c r="C69" s="158"/>
      <c r="D69" s="73" t="s">
        <v>1227</v>
      </c>
      <c r="E69" s="156"/>
      <c r="F69" s="156">
        <v>30</v>
      </c>
      <c r="G69" s="225">
        <f t="shared" ref="G69:G71" si="20">G70-E69+F69</f>
        <v>2813.7899999999991</v>
      </c>
      <c r="H69" s="32"/>
      <c r="I69" s="13" t="s">
        <v>1416</v>
      </c>
      <c r="J69" s="47"/>
      <c r="K69" s="43"/>
      <c r="L69" s="38"/>
      <c r="M69" s="71"/>
      <c r="N69" s="39"/>
      <c r="O69" s="39"/>
      <c r="P69" s="39"/>
      <c r="Q69" s="72"/>
      <c r="R69" s="44"/>
      <c r="S69" s="44"/>
      <c r="T69" s="44"/>
      <c r="U69" s="44"/>
      <c r="V69" s="40"/>
      <c r="W69" s="40"/>
      <c r="X69" s="45"/>
      <c r="Y69" s="45"/>
      <c r="Z69" s="45"/>
      <c r="AA69" s="45"/>
      <c r="AB69" s="41"/>
      <c r="AC69" s="41"/>
      <c r="AD69" s="41"/>
      <c r="AE69" s="41"/>
      <c r="AF69" s="41"/>
      <c r="AG69" s="41">
        <v>30</v>
      </c>
      <c r="AH69" s="42"/>
      <c r="AI69" s="42"/>
      <c r="AJ69" s="42"/>
      <c r="AK69" s="42"/>
      <c r="AL69" s="42"/>
      <c r="AM69" s="42"/>
      <c r="AN69" s="37"/>
      <c r="AO69" s="26"/>
    </row>
    <row r="70" spans="1:41" ht="24.9" customHeight="1" x14ac:dyDescent="0.25">
      <c r="A70" s="222" t="str">
        <f t="shared" si="19"/>
        <v>Ok</v>
      </c>
      <c r="B70" s="36"/>
      <c r="C70" s="158"/>
      <c r="D70" s="73" t="s">
        <v>1226</v>
      </c>
      <c r="E70" s="156"/>
      <c r="F70" s="156">
        <v>30</v>
      </c>
      <c r="G70" s="225">
        <f t="shared" si="20"/>
        <v>2783.7899999999991</v>
      </c>
      <c r="H70" s="32"/>
      <c r="I70" s="13" t="s">
        <v>1417</v>
      </c>
      <c r="J70" s="47"/>
      <c r="K70" s="43"/>
      <c r="L70" s="38"/>
      <c r="M70" s="71"/>
      <c r="N70" s="39"/>
      <c r="O70" s="39"/>
      <c r="P70" s="39"/>
      <c r="Q70" s="72"/>
      <c r="R70" s="44"/>
      <c r="S70" s="44"/>
      <c r="T70" s="44"/>
      <c r="U70" s="44"/>
      <c r="V70" s="40"/>
      <c r="W70" s="40"/>
      <c r="X70" s="45"/>
      <c r="Y70" s="45"/>
      <c r="Z70" s="45"/>
      <c r="AA70" s="45"/>
      <c r="AB70" s="41"/>
      <c r="AC70" s="41"/>
      <c r="AD70" s="41"/>
      <c r="AE70" s="41"/>
      <c r="AF70" s="41"/>
      <c r="AG70" s="41">
        <v>30</v>
      </c>
      <c r="AH70" s="42"/>
      <c r="AI70" s="42"/>
      <c r="AJ70" s="42"/>
      <c r="AK70" s="42"/>
      <c r="AL70" s="42"/>
      <c r="AM70" s="42"/>
      <c r="AN70" s="37"/>
      <c r="AO70" s="26"/>
    </row>
    <row r="71" spans="1:41" ht="24.9" customHeight="1" x14ac:dyDescent="0.25">
      <c r="A71" s="222" t="str">
        <f t="shared" ref="A71" si="21">IF(ABS(SUM(L71:AN71))&lt;&gt;SUM(E71:F71),"A Distribuer","Ok")</f>
        <v>Ok</v>
      </c>
      <c r="B71" s="36"/>
      <c r="C71" s="382">
        <v>45754</v>
      </c>
      <c r="D71" s="380" t="s">
        <v>1219</v>
      </c>
      <c r="E71" s="381"/>
      <c r="F71" s="381">
        <v>110</v>
      </c>
      <c r="G71" s="225">
        <f t="shared" si="20"/>
        <v>2753.7899999999991</v>
      </c>
      <c r="H71" s="32"/>
      <c r="I71" s="13" t="s">
        <v>1220</v>
      </c>
      <c r="J71" s="47"/>
      <c r="K71" s="43"/>
      <c r="L71" s="38"/>
      <c r="M71" s="71"/>
      <c r="N71" s="39"/>
      <c r="O71" s="39"/>
      <c r="P71" s="39"/>
      <c r="Q71" s="72"/>
      <c r="R71" s="44"/>
      <c r="S71" s="44">
        <v>75</v>
      </c>
      <c r="T71" s="44">
        <v>35</v>
      </c>
      <c r="U71" s="44"/>
      <c r="V71" s="40"/>
      <c r="W71" s="40"/>
      <c r="X71" s="45"/>
      <c r="Y71" s="45"/>
      <c r="Z71" s="45"/>
      <c r="AA71" s="45"/>
      <c r="AB71" s="41"/>
      <c r="AC71" s="41"/>
      <c r="AD71" s="41"/>
      <c r="AE71" s="41"/>
      <c r="AF71" s="41"/>
      <c r="AG71" s="41"/>
      <c r="AH71" s="42"/>
      <c r="AI71" s="42"/>
      <c r="AJ71" s="42"/>
      <c r="AK71" s="42"/>
      <c r="AL71" s="42"/>
      <c r="AM71" s="42"/>
      <c r="AN71" s="37"/>
      <c r="AO71" s="26"/>
    </row>
    <row r="72" spans="1:41" ht="24.9" customHeight="1" x14ac:dyDescent="0.25">
      <c r="A72" s="222" t="str">
        <f>IF(ABS(SUM(L72:AN72))&lt;&gt;SUM(E72:F72),"A Distribuer","Ok")</f>
        <v>Ok</v>
      </c>
      <c r="B72" s="36"/>
      <c r="C72" s="158"/>
      <c r="D72" s="73" t="s">
        <v>1209</v>
      </c>
      <c r="E72" s="156">
        <v>550</v>
      </c>
      <c r="F72" s="156"/>
      <c r="G72" s="225">
        <f t="shared" ref="G72:G74" si="22">G73-E72+F72</f>
        <v>2643.7899999999991</v>
      </c>
      <c r="H72" s="32"/>
      <c r="I72" s="13" t="s">
        <v>1210</v>
      </c>
      <c r="J72" s="47"/>
      <c r="K72" s="43"/>
      <c r="L72" s="38"/>
      <c r="M72" s="71"/>
      <c r="N72" s="39"/>
      <c r="O72" s="39"/>
      <c r="P72" s="39"/>
      <c r="Q72" s="72"/>
      <c r="R72" s="44"/>
      <c r="S72" s="44"/>
      <c r="T72" s="44"/>
      <c r="U72" s="44"/>
      <c r="V72" s="40"/>
      <c r="W72" s="40"/>
      <c r="X72" s="45"/>
      <c r="Y72" s="45"/>
      <c r="Z72" s="45">
        <v>550</v>
      </c>
      <c r="AA72" s="45"/>
      <c r="AB72" s="41"/>
      <c r="AC72" s="41"/>
      <c r="AD72" s="41"/>
      <c r="AE72" s="41"/>
      <c r="AF72" s="41"/>
      <c r="AG72" s="41"/>
      <c r="AH72" s="42"/>
      <c r="AI72" s="42"/>
      <c r="AJ72" s="42"/>
      <c r="AK72" s="42"/>
      <c r="AL72" s="42"/>
      <c r="AM72" s="42"/>
      <c r="AN72" s="37"/>
      <c r="AO72" s="26"/>
    </row>
    <row r="73" spans="1:41" ht="24.9" customHeight="1" x14ac:dyDescent="0.25">
      <c r="A73" s="222" t="str">
        <f>IF(ABS(SUM(L73:AN73))&lt;&gt;SUM(E73:F73),"A Distribuer","Ok")</f>
        <v>Ok</v>
      </c>
      <c r="B73" s="36"/>
      <c r="C73" s="382">
        <v>45750</v>
      </c>
      <c r="D73" s="380" t="s">
        <v>1215</v>
      </c>
      <c r="E73" s="381"/>
      <c r="F73" s="381">
        <v>60</v>
      </c>
      <c r="G73" s="225">
        <f t="shared" si="22"/>
        <v>3193.7899999999991</v>
      </c>
      <c r="H73" s="32"/>
      <c r="I73" s="13" t="s">
        <v>1216</v>
      </c>
      <c r="J73" s="47"/>
      <c r="K73" s="43"/>
      <c r="L73" s="38"/>
      <c r="M73" s="71"/>
      <c r="N73" s="39"/>
      <c r="O73" s="39"/>
      <c r="P73" s="39"/>
      <c r="Q73" s="72"/>
      <c r="R73" s="44"/>
      <c r="S73" s="44"/>
      <c r="T73" s="44"/>
      <c r="U73" s="44"/>
      <c r="V73" s="40"/>
      <c r="W73" s="40"/>
      <c r="X73" s="45"/>
      <c r="Y73" s="45"/>
      <c r="Z73" s="45"/>
      <c r="AA73" s="45"/>
      <c r="AB73" s="41"/>
      <c r="AC73" s="41"/>
      <c r="AD73" s="41"/>
      <c r="AE73" s="41"/>
      <c r="AF73" s="41"/>
      <c r="AG73" s="41">
        <v>60</v>
      </c>
      <c r="AH73" s="42"/>
      <c r="AI73" s="42"/>
      <c r="AJ73" s="42"/>
      <c r="AK73" s="42"/>
      <c r="AL73" s="42"/>
      <c r="AM73" s="42"/>
      <c r="AN73" s="37"/>
      <c r="AO73" s="26"/>
    </row>
    <row r="74" spans="1:41" ht="24.9" customHeight="1" x14ac:dyDescent="0.25">
      <c r="A74" s="222" t="str">
        <f>IF(ABS(SUM(L74:AN74))&lt;&gt;SUM(E74:F74),"A Distribuer","Ok")</f>
        <v>Ok</v>
      </c>
      <c r="B74" s="36"/>
      <c r="C74" s="382">
        <v>45750</v>
      </c>
      <c r="D74" s="380" t="s">
        <v>1217</v>
      </c>
      <c r="E74" s="381"/>
      <c r="F74" s="381">
        <v>30</v>
      </c>
      <c r="G74" s="225">
        <f t="shared" si="22"/>
        <v>3133.7899999999991</v>
      </c>
      <c r="H74" s="32"/>
      <c r="I74" s="13" t="s">
        <v>1218</v>
      </c>
      <c r="J74" s="47"/>
      <c r="K74" s="43"/>
      <c r="L74" s="38"/>
      <c r="M74" s="71"/>
      <c r="N74" s="39"/>
      <c r="O74" s="39"/>
      <c r="P74" s="39"/>
      <c r="Q74" s="72"/>
      <c r="R74" s="44"/>
      <c r="S74" s="44"/>
      <c r="T74" s="44"/>
      <c r="U74" s="44"/>
      <c r="V74" s="40"/>
      <c r="W74" s="40"/>
      <c r="X74" s="45"/>
      <c r="Y74" s="45"/>
      <c r="Z74" s="45"/>
      <c r="AA74" s="45"/>
      <c r="AB74" s="41"/>
      <c r="AC74" s="41"/>
      <c r="AD74" s="41"/>
      <c r="AE74" s="41"/>
      <c r="AF74" s="41"/>
      <c r="AG74" s="41">
        <v>30</v>
      </c>
      <c r="AH74" s="42"/>
      <c r="AI74" s="42"/>
      <c r="AJ74" s="42"/>
      <c r="AK74" s="42"/>
      <c r="AL74" s="42"/>
      <c r="AM74" s="42"/>
      <c r="AN74" s="37"/>
      <c r="AO74" s="26"/>
    </row>
    <row r="75" spans="1:41" ht="24.9" customHeight="1" x14ac:dyDescent="0.25">
      <c r="A75" s="222" t="str">
        <f t="shared" ref="A75:A89" si="23">IF(ABS(SUM(L75:AN75))&lt;&gt;SUM(E75:F75),"A Distribuer","Ok")</f>
        <v>Ok</v>
      </c>
      <c r="B75" s="36"/>
      <c r="C75" s="382">
        <v>45750</v>
      </c>
      <c r="D75" s="73" t="s">
        <v>1153</v>
      </c>
      <c r="E75" s="156">
        <v>8</v>
      </c>
      <c r="F75" s="156"/>
      <c r="G75" s="225">
        <f t="shared" ref="G75:G80" si="24">G76-E75+F75</f>
        <v>3103.7899999999991</v>
      </c>
      <c r="H75" s="32"/>
      <c r="I75" s="13" t="s">
        <v>1154</v>
      </c>
      <c r="J75" s="47"/>
      <c r="K75" s="43"/>
      <c r="L75" s="38"/>
      <c r="M75" s="71"/>
      <c r="N75" s="39"/>
      <c r="O75" s="39"/>
      <c r="P75" s="39"/>
      <c r="Q75" s="72"/>
      <c r="R75" s="44"/>
      <c r="S75" s="44"/>
      <c r="T75" s="44"/>
      <c r="U75" s="44"/>
      <c r="V75" s="40"/>
      <c r="W75" s="40"/>
      <c r="X75" s="45"/>
      <c r="Y75" s="45"/>
      <c r="Z75" s="45"/>
      <c r="AA75" s="45"/>
      <c r="AB75" s="41"/>
      <c r="AC75" s="41"/>
      <c r="AD75" s="41"/>
      <c r="AE75" s="41"/>
      <c r="AF75" s="41"/>
      <c r="AG75" s="41"/>
      <c r="AH75" s="42"/>
      <c r="AI75" s="42"/>
      <c r="AJ75" s="42"/>
      <c r="AK75" s="42"/>
      <c r="AL75" s="42"/>
      <c r="AM75" s="42"/>
      <c r="AN75" s="37">
        <v>8</v>
      </c>
      <c r="AO75" s="26"/>
    </row>
    <row r="76" spans="1:41" ht="24.9" customHeight="1" x14ac:dyDescent="0.25">
      <c r="A76" s="222" t="str">
        <f>IF(ABS(SUM(L76:AN76))&lt;&gt;SUM(E76:F76),"A Distribuer","Ok")</f>
        <v>Ok</v>
      </c>
      <c r="B76" s="36"/>
      <c r="C76" s="382">
        <v>45749</v>
      </c>
      <c r="D76" s="380" t="s">
        <v>1214</v>
      </c>
      <c r="E76" s="381"/>
      <c r="F76" s="381">
        <v>30</v>
      </c>
      <c r="G76" s="225">
        <f t="shared" si="24"/>
        <v>3111.7899999999991</v>
      </c>
      <c r="H76" s="32"/>
      <c r="I76" s="13" t="s">
        <v>1213</v>
      </c>
      <c r="J76" s="47"/>
      <c r="K76" s="43"/>
      <c r="L76" s="38"/>
      <c r="M76" s="71"/>
      <c r="N76" s="39"/>
      <c r="O76" s="39"/>
      <c r="P76" s="39"/>
      <c r="Q76" s="72"/>
      <c r="R76" s="44"/>
      <c r="S76" s="44"/>
      <c r="T76" s="44"/>
      <c r="U76" s="44"/>
      <c r="V76" s="40"/>
      <c r="W76" s="40"/>
      <c r="X76" s="45"/>
      <c r="Y76" s="45"/>
      <c r="Z76" s="45"/>
      <c r="AA76" s="45"/>
      <c r="AB76" s="41"/>
      <c r="AC76" s="41"/>
      <c r="AD76" s="41"/>
      <c r="AE76" s="41"/>
      <c r="AF76" s="41"/>
      <c r="AG76" s="41">
        <v>30</v>
      </c>
      <c r="AH76" s="42"/>
      <c r="AI76" s="42"/>
      <c r="AJ76" s="42"/>
      <c r="AK76" s="42"/>
      <c r="AL76" s="42"/>
      <c r="AM76" s="42"/>
      <c r="AN76" s="37"/>
      <c r="AO76" s="26"/>
    </row>
    <row r="77" spans="1:41" ht="24.9" customHeight="1" x14ac:dyDescent="0.25">
      <c r="A77" s="222" t="str">
        <f t="shared" si="23"/>
        <v>Ok</v>
      </c>
      <c r="B77" s="36"/>
      <c r="C77" s="382">
        <v>45747</v>
      </c>
      <c r="D77" s="380" t="s">
        <v>1200</v>
      </c>
      <c r="E77" s="381">
        <v>48</v>
      </c>
      <c r="F77" s="381"/>
      <c r="G77" s="225">
        <f t="shared" si="24"/>
        <v>3081.7899999999991</v>
      </c>
      <c r="H77" s="32"/>
      <c r="I77" s="13" t="s">
        <v>1203</v>
      </c>
      <c r="J77" s="47"/>
      <c r="K77" s="43"/>
      <c r="L77" s="38"/>
      <c r="M77" s="71"/>
      <c r="N77" s="39"/>
      <c r="O77" s="39"/>
      <c r="P77" s="39"/>
      <c r="Q77" s="72"/>
      <c r="R77" s="44"/>
      <c r="S77" s="44"/>
      <c r="T77" s="44"/>
      <c r="U77" s="44"/>
      <c r="V77" s="40"/>
      <c r="W77" s="40"/>
      <c r="X77" s="45"/>
      <c r="Y77" s="45"/>
      <c r="Z77" s="45"/>
      <c r="AA77" s="45"/>
      <c r="AB77" s="41"/>
      <c r="AC77" s="41"/>
      <c r="AD77" s="41"/>
      <c r="AE77" s="41"/>
      <c r="AF77" s="41"/>
      <c r="AG77" s="41"/>
      <c r="AH77" s="42"/>
      <c r="AI77" s="42"/>
      <c r="AJ77" s="42"/>
      <c r="AK77" s="42"/>
      <c r="AL77" s="42"/>
      <c r="AM77" s="42"/>
      <c r="AN77" s="37">
        <v>48</v>
      </c>
      <c r="AO77" s="26"/>
    </row>
    <row r="78" spans="1:41" ht="24.9" customHeight="1" x14ac:dyDescent="0.25">
      <c r="A78" s="222" t="str">
        <f t="shared" si="23"/>
        <v>Ok</v>
      </c>
      <c r="B78" s="36"/>
      <c r="C78" s="382">
        <v>45745</v>
      </c>
      <c r="D78" s="380" t="s">
        <v>1201</v>
      </c>
      <c r="E78" s="381"/>
      <c r="F78" s="381">
        <v>34</v>
      </c>
      <c r="G78" s="225">
        <f t="shared" si="24"/>
        <v>3129.7899999999991</v>
      </c>
      <c r="H78" s="32"/>
      <c r="I78" s="13" t="s">
        <v>1204</v>
      </c>
      <c r="J78" s="47"/>
      <c r="K78" s="43"/>
      <c r="L78" s="38"/>
      <c r="M78" s="71"/>
      <c r="N78" s="39"/>
      <c r="O78" s="39"/>
      <c r="P78" s="39"/>
      <c r="Q78" s="72"/>
      <c r="R78" s="44"/>
      <c r="S78" s="44"/>
      <c r="T78" s="44"/>
      <c r="U78" s="44"/>
      <c r="V78" s="40"/>
      <c r="W78" s="40"/>
      <c r="X78" s="45"/>
      <c r="Y78" s="45"/>
      <c r="Z78" s="45"/>
      <c r="AA78" s="45"/>
      <c r="AB78" s="41"/>
      <c r="AC78" s="41"/>
      <c r="AD78" s="41"/>
      <c r="AE78" s="41"/>
      <c r="AF78" s="41"/>
      <c r="AG78" s="41">
        <v>34</v>
      </c>
      <c r="AH78" s="42"/>
      <c r="AI78" s="42"/>
      <c r="AJ78" s="42"/>
      <c r="AK78" s="42"/>
      <c r="AL78" s="42"/>
      <c r="AM78" s="42"/>
      <c r="AN78" s="37"/>
      <c r="AO78" s="26"/>
    </row>
    <row r="79" spans="1:41" ht="24.9" customHeight="1" x14ac:dyDescent="0.25">
      <c r="A79" s="222" t="str">
        <f t="shared" si="23"/>
        <v>Ok</v>
      </c>
      <c r="B79" s="36"/>
      <c r="C79" s="382">
        <v>45745</v>
      </c>
      <c r="D79" s="380" t="s">
        <v>1202</v>
      </c>
      <c r="E79" s="381"/>
      <c r="F79" s="381">
        <v>119</v>
      </c>
      <c r="G79" s="225">
        <f t="shared" si="24"/>
        <v>3095.7899999999991</v>
      </c>
      <c r="H79" s="32"/>
      <c r="I79" s="13" t="s">
        <v>1205</v>
      </c>
      <c r="J79" s="47"/>
      <c r="K79" s="43"/>
      <c r="L79" s="38"/>
      <c r="M79" s="71"/>
      <c r="N79" s="39"/>
      <c r="O79" s="39"/>
      <c r="P79" s="39"/>
      <c r="Q79" s="72"/>
      <c r="R79" s="44"/>
      <c r="S79" s="44">
        <v>75</v>
      </c>
      <c r="T79" s="44">
        <v>44</v>
      </c>
      <c r="U79" s="44"/>
      <c r="V79" s="40"/>
      <c r="W79" s="40"/>
      <c r="X79" s="45"/>
      <c r="Y79" s="45"/>
      <c r="Z79" s="45"/>
      <c r="AA79" s="45"/>
      <c r="AB79" s="41"/>
      <c r="AC79" s="41"/>
      <c r="AD79" s="41"/>
      <c r="AE79" s="41"/>
      <c r="AF79" s="41"/>
      <c r="AG79" s="41"/>
      <c r="AH79" s="42"/>
      <c r="AI79" s="42"/>
      <c r="AJ79" s="42"/>
      <c r="AK79" s="42"/>
      <c r="AL79" s="42"/>
      <c r="AM79" s="42"/>
      <c r="AN79" s="37"/>
      <c r="AO79" s="26"/>
    </row>
    <row r="80" spans="1:41" ht="24.9" customHeight="1" x14ac:dyDescent="0.25">
      <c r="A80" s="222" t="str">
        <f t="shared" si="23"/>
        <v>Ok</v>
      </c>
      <c r="B80" s="36"/>
      <c r="C80" s="158">
        <v>45743</v>
      </c>
      <c r="D80" s="73" t="s">
        <v>1199</v>
      </c>
      <c r="E80" s="156"/>
      <c r="F80" s="156">
        <v>1000</v>
      </c>
      <c r="G80" s="225">
        <f t="shared" si="24"/>
        <v>2976.7899999999991</v>
      </c>
      <c r="H80" s="32"/>
      <c r="I80" s="13"/>
      <c r="J80" s="47"/>
      <c r="K80" s="43"/>
      <c r="L80" s="38"/>
      <c r="M80" s="71">
        <v>-1000</v>
      </c>
      <c r="N80" s="39"/>
      <c r="O80" s="39"/>
      <c r="P80" s="39"/>
      <c r="Q80" s="72"/>
      <c r="R80" s="44"/>
      <c r="S80" s="44"/>
      <c r="T80" s="44"/>
      <c r="U80" s="44"/>
      <c r="V80" s="40"/>
      <c r="W80" s="40"/>
      <c r="X80" s="45"/>
      <c r="Y80" s="45"/>
      <c r="Z80" s="45"/>
      <c r="AA80" s="45"/>
      <c r="AB80" s="41"/>
      <c r="AC80" s="41"/>
      <c r="AD80" s="41"/>
      <c r="AE80" s="41"/>
      <c r="AF80" s="41"/>
      <c r="AG80" s="41"/>
      <c r="AH80" s="42"/>
      <c r="AI80" s="42"/>
      <c r="AJ80" s="42"/>
      <c r="AK80" s="42"/>
      <c r="AL80" s="42"/>
      <c r="AM80" s="42"/>
      <c r="AN80" s="37"/>
      <c r="AO80" s="26"/>
    </row>
    <row r="81" spans="1:41" ht="24.9" customHeight="1" x14ac:dyDescent="0.25">
      <c r="A81" s="222" t="str">
        <f>IF(ABS(SUM(L81:AN81))&lt;&gt;SUM(E81:F81),"A Distribuer","Ok")</f>
        <v>Ok</v>
      </c>
      <c r="B81" s="36"/>
      <c r="C81" s="158">
        <v>45743</v>
      </c>
      <c r="D81" s="73" t="s">
        <v>1180</v>
      </c>
      <c r="E81" s="156">
        <v>50</v>
      </c>
      <c r="F81" s="156"/>
      <c r="G81" s="225">
        <f t="shared" ref="G81:G84" si="25">G82-E81+F81</f>
        <v>1976.7899999999993</v>
      </c>
      <c r="H81" s="32"/>
      <c r="I81" s="13" t="s">
        <v>1181</v>
      </c>
      <c r="J81" s="47"/>
      <c r="K81" s="43"/>
      <c r="L81" s="38"/>
      <c r="M81" s="71"/>
      <c r="N81" s="39"/>
      <c r="O81" s="39"/>
      <c r="P81" s="39"/>
      <c r="Q81" s="72"/>
      <c r="R81" s="44"/>
      <c r="S81" s="44"/>
      <c r="T81" s="44"/>
      <c r="U81" s="44"/>
      <c r="V81" s="40"/>
      <c r="W81" s="40"/>
      <c r="X81" s="45"/>
      <c r="Y81" s="45"/>
      <c r="Z81" s="45"/>
      <c r="AA81" s="45"/>
      <c r="AB81" s="41"/>
      <c r="AC81" s="41"/>
      <c r="AD81" s="41"/>
      <c r="AE81" s="41"/>
      <c r="AF81" s="41"/>
      <c r="AG81" s="41"/>
      <c r="AH81" s="42"/>
      <c r="AI81" s="42"/>
      <c r="AJ81" s="42"/>
      <c r="AK81" s="42"/>
      <c r="AL81" s="42">
        <v>50</v>
      </c>
      <c r="AM81" s="42"/>
      <c r="AN81" s="37"/>
      <c r="AO81" s="26"/>
    </row>
    <row r="82" spans="1:41" ht="24.9" customHeight="1" x14ac:dyDescent="0.25">
      <c r="A82" s="222" t="str">
        <f t="shared" si="23"/>
        <v>Ok</v>
      </c>
      <c r="B82" s="36"/>
      <c r="C82" s="158">
        <v>45742</v>
      </c>
      <c r="D82" s="73" t="s">
        <v>1138</v>
      </c>
      <c r="E82" s="156">
        <v>302.33999999999997</v>
      </c>
      <c r="F82" s="156"/>
      <c r="G82" s="225">
        <f t="shared" si="25"/>
        <v>2026.7899999999993</v>
      </c>
      <c r="H82" s="32"/>
      <c r="I82" s="13" t="s">
        <v>1139</v>
      </c>
      <c r="J82" s="47"/>
      <c r="K82" s="43"/>
      <c r="L82" s="38"/>
      <c r="M82" s="71"/>
      <c r="N82" s="39">
        <v>220.34</v>
      </c>
      <c r="O82" s="39">
        <v>82</v>
      </c>
      <c r="P82" s="39"/>
      <c r="Q82" s="72"/>
      <c r="R82" s="44"/>
      <c r="S82" s="44"/>
      <c r="T82" s="44"/>
      <c r="U82" s="44"/>
      <c r="V82" s="40"/>
      <c r="W82" s="40"/>
      <c r="X82" s="45"/>
      <c r="Y82" s="45"/>
      <c r="Z82" s="45"/>
      <c r="AA82" s="45"/>
      <c r="AB82" s="41"/>
      <c r="AC82" s="41"/>
      <c r="AD82" s="41"/>
      <c r="AE82" s="41"/>
      <c r="AF82" s="41"/>
      <c r="AG82" s="41"/>
      <c r="AH82" s="42"/>
      <c r="AI82" s="42"/>
      <c r="AJ82" s="42"/>
      <c r="AK82" s="42"/>
      <c r="AL82" s="42"/>
      <c r="AM82" s="42"/>
      <c r="AN82" s="37"/>
      <c r="AO82" s="26"/>
    </row>
    <row r="83" spans="1:41" ht="24.9" customHeight="1" x14ac:dyDescent="0.25">
      <c r="A83" s="222" t="str">
        <f>IF(ABS(SUM(L83:AN83))&lt;&gt;SUM(E83:F83),"A Distribuer","Ok")</f>
        <v>Ok</v>
      </c>
      <c r="B83" s="36"/>
      <c r="C83" s="158">
        <v>45742</v>
      </c>
      <c r="D83" s="73" t="s">
        <v>1176</v>
      </c>
      <c r="E83" s="156">
        <v>241.87</v>
      </c>
      <c r="F83" s="156"/>
      <c r="G83" s="225">
        <f t="shared" si="25"/>
        <v>2329.1299999999992</v>
      </c>
      <c r="H83" s="32"/>
      <c r="I83" s="13" t="s">
        <v>1177</v>
      </c>
      <c r="J83" s="47"/>
      <c r="K83" s="43"/>
      <c r="L83" s="38"/>
      <c r="M83" s="71"/>
      <c r="N83" s="39">
        <v>176.27</v>
      </c>
      <c r="O83" s="39">
        <v>65.599999999999994</v>
      </c>
      <c r="P83" s="39"/>
      <c r="Q83" s="72"/>
      <c r="R83" s="44"/>
      <c r="S83" s="44"/>
      <c r="T83" s="44"/>
      <c r="U83" s="44"/>
      <c r="V83" s="40"/>
      <c r="W83" s="40"/>
      <c r="X83" s="45"/>
      <c r="Y83" s="45"/>
      <c r="Z83" s="45"/>
      <c r="AA83" s="45"/>
      <c r="AB83" s="41"/>
      <c r="AC83" s="41"/>
      <c r="AD83" s="41"/>
      <c r="AE83" s="41"/>
      <c r="AF83" s="41"/>
      <c r="AG83" s="41"/>
      <c r="AH83" s="42"/>
      <c r="AI83" s="42"/>
      <c r="AJ83" s="42"/>
      <c r="AK83" s="42"/>
      <c r="AL83" s="42"/>
      <c r="AM83" s="42"/>
      <c r="AN83" s="37"/>
      <c r="AO83" s="26"/>
    </row>
    <row r="84" spans="1:41" ht="24.9" customHeight="1" x14ac:dyDescent="0.25">
      <c r="A84" s="222" t="str">
        <f>IF(ABS(SUM(L84:AN84))&lt;&gt;SUM(E84:F84),"A Distribuer","Ok")</f>
        <v>Ok</v>
      </c>
      <c r="B84" s="36"/>
      <c r="C84" s="158">
        <v>45735</v>
      </c>
      <c r="D84" s="73" t="s">
        <v>1197</v>
      </c>
      <c r="E84" s="156"/>
      <c r="F84" s="156">
        <v>66</v>
      </c>
      <c r="G84" s="225">
        <f t="shared" si="25"/>
        <v>2570.9999999999991</v>
      </c>
      <c r="H84" s="32"/>
      <c r="I84" s="13" t="s">
        <v>1198</v>
      </c>
      <c r="J84" s="47"/>
      <c r="K84" s="43"/>
      <c r="L84" s="38"/>
      <c r="M84" s="71"/>
      <c r="N84" s="39"/>
      <c r="O84" s="39"/>
      <c r="P84" s="39"/>
      <c r="Q84" s="72"/>
      <c r="R84" s="44"/>
      <c r="S84" s="44">
        <v>22</v>
      </c>
      <c r="T84" s="44">
        <v>44</v>
      </c>
      <c r="U84" s="44"/>
      <c r="V84" s="40"/>
      <c r="W84" s="40"/>
      <c r="X84" s="45"/>
      <c r="Y84" s="45"/>
      <c r="Z84" s="45"/>
      <c r="AA84" s="45"/>
      <c r="AB84" s="41"/>
      <c r="AC84" s="41"/>
      <c r="AD84" s="41"/>
      <c r="AE84" s="41"/>
      <c r="AF84" s="41"/>
      <c r="AG84" s="41"/>
      <c r="AH84" s="42"/>
      <c r="AI84" s="42"/>
      <c r="AJ84" s="42"/>
      <c r="AK84" s="42"/>
      <c r="AL84" s="42"/>
      <c r="AM84" s="42"/>
      <c r="AN84" s="37"/>
      <c r="AO84" s="26"/>
    </row>
    <row r="85" spans="1:41" ht="24.9" customHeight="1" x14ac:dyDescent="0.25">
      <c r="A85" s="222" t="str">
        <f>IF(ABS(SUM(L85:AN85))&lt;&gt;SUM(E85:F85),"A Distribuer","Ok")</f>
        <v>Ok</v>
      </c>
      <c r="B85" s="36"/>
      <c r="C85" s="158">
        <v>45734</v>
      </c>
      <c r="D85" s="73" t="s">
        <v>1162</v>
      </c>
      <c r="E85" s="156">
        <v>1135.01</v>
      </c>
      <c r="F85" s="156"/>
      <c r="G85" s="225">
        <f t="shared" ref="G85" si="26">G86-E85+F85</f>
        <v>2504.9999999999991</v>
      </c>
      <c r="H85" s="32"/>
      <c r="I85" s="13" t="s">
        <v>1163</v>
      </c>
      <c r="J85" s="47"/>
      <c r="K85" s="43"/>
      <c r="L85" s="38"/>
      <c r="M85" s="71"/>
      <c r="N85" s="39"/>
      <c r="O85" s="39"/>
      <c r="P85" s="39"/>
      <c r="Q85" s="72"/>
      <c r="R85" s="44"/>
      <c r="S85" s="44"/>
      <c r="T85" s="44"/>
      <c r="U85" s="44"/>
      <c r="V85" s="40"/>
      <c r="W85" s="40"/>
      <c r="X85" s="45"/>
      <c r="Y85" s="45"/>
      <c r="Z85" s="45"/>
      <c r="AA85" s="45"/>
      <c r="AB85" s="41"/>
      <c r="AC85" s="41">
        <v>1135.01</v>
      </c>
      <c r="AD85" s="41"/>
      <c r="AE85" s="41"/>
      <c r="AF85" s="41"/>
      <c r="AG85" s="41"/>
      <c r="AH85" s="42"/>
      <c r="AI85" s="42"/>
      <c r="AJ85" s="42"/>
      <c r="AK85" s="42"/>
      <c r="AL85" s="42"/>
      <c r="AM85" s="42"/>
      <c r="AN85" s="37"/>
      <c r="AO85" s="26"/>
    </row>
    <row r="86" spans="1:41" ht="24.9" customHeight="1" x14ac:dyDescent="0.25">
      <c r="A86" s="222" t="str">
        <f t="shared" si="23"/>
        <v>Ok</v>
      </c>
      <c r="B86" s="36"/>
      <c r="C86" s="158">
        <v>45734</v>
      </c>
      <c r="D86" s="73" t="s">
        <v>1161</v>
      </c>
      <c r="E86" s="156">
        <v>247</v>
      </c>
      <c r="F86" s="156"/>
      <c r="G86" s="225">
        <f t="shared" ref="G86:G88" si="27">G87-E86+F86</f>
        <v>3640.0099999999993</v>
      </c>
      <c r="H86" s="32"/>
      <c r="I86" s="13" t="s">
        <v>849</v>
      </c>
      <c r="J86" s="47"/>
      <c r="K86" s="43"/>
      <c r="L86" s="38"/>
      <c r="M86" s="71"/>
      <c r="N86" s="39"/>
      <c r="O86" s="39"/>
      <c r="P86" s="39"/>
      <c r="Q86" s="72"/>
      <c r="R86" s="44"/>
      <c r="S86" s="44"/>
      <c r="T86" s="44"/>
      <c r="U86" s="44"/>
      <c r="V86" s="40"/>
      <c r="W86" s="40"/>
      <c r="X86" s="45"/>
      <c r="Y86" s="45"/>
      <c r="Z86" s="45"/>
      <c r="AA86" s="45"/>
      <c r="AB86" s="41">
        <v>7</v>
      </c>
      <c r="AC86" s="41">
        <v>240</v>
      </c>
      <c r="AD86" s="41"/>
      <c r="AE86" s="41"/>
      <c r="AF86" s="41"/>
      <c r="AG86" s="41"/>
      <c r="AH86" s="42"/>
      <c r="AI86" s="42"/>
      <c r="AJ86" s="42"/>
      <c r="AK86" s="42"/>
      <c r="AL86" s="42"/>
      <c r="AM86" s="42"/>
      <c r="AN86" s="37"/>
      <c r="AO86" s="26"/>
    </row>
    <row r="87" spans="1:41" ht="24.9" customHeight="1" x14ac:dyDescent="0.25">
      <c r="A87" s="222" t="str">
        <f>IF(ABS(SUM(L87:AN87))&lt;&gt;SUM(E87:F87),"A Distribuer","Ok")</f>
        <v>Ok</v>
      </c>
      <c r="B87" s="36"/>
      <c r="C87" s="158">
        <v>45734</v>
      </c>
      <c r="D87" s="73" t="s">
        <v>1060</v>
      </c>
      <c r="E87" s="156">
        <v>103.5</v>
      </c>
      <c r="F87" s="156"/>
      <c r="G87" s="225">
        <f t="shared" si="27"/>
        <v>3887.0099999999993</v>
      </c>
      <c r="H87" s="32"/>
      <c r="I87" s="13" t="s">
        <v>1061</v>
      </c>
      <c r="J87" s="47"/>
      <c r="K87" s="43"/>
      <c r="L87" s="38"/>
      <c r="M87" s="71"/>
      <c r="N87" s="39"/>
      <c r="O87" s="39"/>
      <c r="P87" s="39"/>
      <c r="Q87" s="72"/>
      <c r="R87" s="44"/>
      <c r="S87" s="44"/>
      <c r="T87" s="44"/>
      <c r="U87" s="44"/>
      <c r="V87" s="40"/>
      <c r="W87" s="40"/>
      <c r="X87" s="45">
        <v>103.5</v>
      </c>
      <c r="Y87" s="45"/>
      <c r="Z87" s="45"/>
      <c r="AA87" s="45"/>
      <c r="AB87" s="41"/>
      <c r="AC87" s="41"/>
      <c r="AD87" s="41"/>
      <c r="AE87" s="41"/>
      <c r="AF87" s="41"/>
      <c r="AG87" s="41"/>
      <c r="AH87" s="42"/>
      <c r="AI87" s="42"/>
      <c r="AJ87" s="42"/>
      <c r="AK87" s="42"/>
      <c r="AL87" s="42"/>
      <c r="AM87" s="42"/>
      <c r="AN87" s="37"/>
      <c r="AO87" s="26"/>
    </row>
    <row r="88" spans="1:41" ht="24.9" customHeight="1" x14ac:dyDescent="0.25">
      <c r="A88" s="222" t="str">
        <f>IF(ABS(SUM(L88:AN88))&lt;&gt;SUM(E88:F88),"A Distribuer","Ok")</f>
        <v>Ok</v>
      </c>
      <c r="B88" s="36"/>
      <c r="C88" s="158">
        <v>45734</v>
      </c>
      <c r="D88" s="73" t="s">
        <v>1164</v>
      </c>
      <c r="E88" s="156">
        <v>60</v>
      </c>
      <c r="F88" s="156"/>
      <c r="G88" s="225">
        <f t="shared" si="27"/>
        <v>3990.5099999999993</v>
      </c>
      <c r="H88" s="32"/>
      <c r="I88" s="13" t="s">
        <v>1171</v>
      </c>
      <c r="J88" s="47"/>
      <c r="K88" s="43"/>
      <c r="L88" s="38"/>
      <c r="M88" s="71"/>
      <c r="N88" s="39"/>
      <c r="O88" s="39"/>
      <c r="P88" s="39"/>
      <c r="Q88" s="72"/>
      <c r="R88" s="44"/>
      <c r="S88" s="44"/>
      <c r="T88" s="44"/>
      <c r="U88" s="44"/>
      <c r="V88" s="40"/>
      <c r="W88" s="40"/>
      <c r="X88" s="45"/>
      <c r="Y88" s="45"/>
      <c r="Z88" s="45"/>
      <c r="AA88" s="45"/>
      <c r="AB88" s="41"/>
      <c r="AC88" s="41"/>
      <c r="AD88" s="41"/>
      <c r="AE88" s="41"/>
      <c r="AF88" s="41"/>
      <c r="AG88" s="41"/>
      <c r="AH88" s="42"/>
      <c r="AI88" s="42"/>
      <c r="AJ88" s="42"/>
      <c r="AK88" s="42"/>
      <c r="AL88" s="42"/>
      <c r="AM88" s="42">
        <v>60</v>
      </c>
      <c r="AN88" s="37"/>
      <c r="AO88" s="26"/>
    </row>
    <row r="89" spans="1:41" ht="34.200000000000003" customHeight="1" x14ac:dyDescent="0.25">
      <c r="A89" s="222" t="str">
        <f t="shared" si="23"/>
        <v>Ok</v>
      </c>
      <c r="B89" s="36"/>
      <c r="C89" s="158">
        <v>45733</v>
      </c>
      <c r="D89" s="380" t="s">
        <v>1196</v>
      </c>
      <c r="E89" s="381">
        <v>197</v>
      </c>
      <c r="F89" s="156"/>
      <c r="G89" s="225">
        <f t="shared" ref="G89:G92" si="28">G90-E89+F89</f>
        <v>4050.5099999999993</v>
      </c>
      <c r="H89" s="32"/>
      <c r="I89" s="13"/>
      <c r="J89" s="47"/>
      <c r="K89" s="43"/>
      <c r="L89" s="38"/>
      <c r="M89" s="71"/>
      <c r="N89" s="39"/>
      <c r="O89" s="39"/>
      <c r="P89" s="39">
        <v>197</v>
      </c>
      <c r="Q89" s="72"/>
      <c r="R89" s="44"/>
      <c r="S89" s="44"/>
      <c r="T89" s="44"/>
      <c r="U89" s="44"/>
      <c r="V89" s="40"/>
      <c r="W89" s="40"/>
      <c r="X89" s="45"/>
      <c r="Y89" s="45"/>
      <c r="Z89" s="45"/>
      <c r="AA89" s="45"/>
      <c r="AB89" s="41"/>
      <c r="AC89" s="41"/>
      <c r="AD89" s="41"/>
      <c r="AE89" s="41"/>
      <c r="AF89" s="41"/>
      <c r="AG89" s="41"/>
      <c r="AH89" s="42"/>
      <c r="AI89" s="42"/>
      <c r="AJ89" s="42"/>
      <c r="AK89" s="42"/>
      <c r="AL89" s="42"/>
      <c r="AM89" s="42"/>
      <c r="AN89" s="37"/>
      <c r="AO89" s="26"/>
    </row>
    <row r="90" spans="1:41" ht="24.9" customHeight="1" x14ac:dyDescent="0.25">
      <c r="A90" s="222" t="str">
        <f t="shared" ref="A90:A115" si="29">IF(ABS(SUM(L90:AN90))&lt;&gt;SUM(E90:F90),"A Distribuer","Ok")</f>
        <v>Ok</v>
      </c>
      <c r="B90" s="36"/>
      <c r="C90" s="158">
        <v>45723</v>
      </c>
      <c r="D90" s="73" t="s">
        <v>1178</v>
      </c>
      <c r="E90" s="156"/>
      <c r="F90" s="156">
        <v>22</v>
      </c>
      <c r="G90" s="225">
        <f t="shared" si="28"/>
        <v>4247.5099999999993</v>
      </c>
      <c r="H90" s="32"/>
      <c r="I90" s="13" t="s">
        <v>1179</v>
      </c>
      <c r="J90" s="47"/>
      <c r="K90" s="43"/>
      <c r="L90" s="38"/>
      <c r="M90" s="71"/>
      <c r="N90" s="39"/>
      <c r="O90" s="39"/>
      <c r="P90" s="39"/>
      <c r="Q90" s="72"/>
      <c r="R90" s="44"/>
      <c r="S90" s="44"/>
      <c r="T90" s="44"/>
      <c r="U90" s="44"/>
      <c r="V90" s="40"/>
      <c r="W90" s="40"/>
      <c r="X90" s="45"/>
      <c r="Y90" s="45"/>
      <c r="Z90" s="45"/>
      <c r="AA90" s="45"/>
      <c r="AB90" s="41"/>
      <c r="AC90" s="41"/>
      <c r="AD90" s="41"/>
      <c r="AE90" s="41"/>
      <c r="AF90" s="41"/>
      <c r="AG90" s="41">
        <v>22</v>
      </c>
      <c r="AH90" s="42"/>
      <c r="AI90" s="42"/>
      <c r="AJ90" s="42"/>
      <c r="AK90" s="42"/>
      <c r="AL90" s="42"/>
      <c r="AM90" s="42"/>
      <c r="AN90" s="37"/>
      <c r="AO90" s="26"/>
    </row>
    <row r="91" spans="1:41" ht="24.9" customHeight="1" x14ac:dyDescent="0.25">
      <c r="A91" s="222" t="str">
        <f t="shared" si="29"/>
        <v>Ok</v>
      </c>
      <c r="B91" s="36"/>
      <c r="C91" s="158">
        <v>45721</v>
      </c>
      <c r="D91" s="73" t="s">
        <v>952</v>
      </c>
      <c r="E91" s="156">
        <v>23.39</v>
      </c>
      <c r="F91" s="156"/>
      <c r="G91" s="225">
        <f t="shared" si="28"/>
        <v>4225.5099999999993</v>
      </c>
      <c r="H91" s="32"/>
      <c r="I91" s="13" t="s">
        <v>953</v>
      </c>
      <c r="J91" s="47"/>
      <c r="K91" s="43"/>
      <c r="L91" s="38"/>
      <c r="M91" s="71"/>
      <c r="N91" s="39"/>
      <c r="O91" s="39"/>
      <c r="P91" s="39"/>
      <c r="Q91" s="72"/>
      <c r="R91" s="44"/>
      <c r="S91" s="44"/>
      <c r="T91" s="44"/>
      <c r="U91" s="44"/>
      <c r="V91" s="40"/>
      <c r="W91" s="40"/>
      <c r="X91" s="45"/>
      <c r="Y91" s="45"/>
      <c r="Z91" s="45"/>
      <c r="AA91" s="45"/>
      <c r="AB91" s="41"/>
      <c r="AC91" s="41"/>
      <c r="AD91" s="41">
        <v>23.39</v>
      </c>
      <c r="AE91" s="41"/>
      <c r="AF91" s="41"/>
      <c r="AG91" s="41"/>
      <c r="AH91" s="42"/>
      <c r="AI91" s="42"/>
      <c r="AJ91" s="42"/>
      <c r="AK91" s="42"/>
      <c r="AL91" s="42"/>
      <c r="AM91" s="42"/>
      <c r="AN91" s="37"/>
      <c r="AO91" s="26"/>
    </row>
    <row r="92" spans="1:41" ht="24.9" customHeight="1" x14ac:dyDescent="0.25">
      <c r="A92" s="222" t="str">
        <f t="shared" si="29"/>
        <v>Ok</v>
      </c>
      <c r="B92" s="36"/>
      <c r="C92" s="158">
        <v>45720</v>
      </c>
      <c r="D92" s="73" t="s">
        <v>1175</v>
      </c>
      <c r="E92" s="156"/>
      <c r="F92" s="156">
        <v>10</v>
      </c>
      <c r="G92" s="225">
        <f t="shared" si="28"/>
        <v>4248.8999999999996</v>
      </c>
      <c r="H92" s="32"/>
      <c r="I92" s="13" t="s">
        <v>1174</v>
      </c>
      <c r="J92" s="47"/>
      <c r="K92" s="43"/>
      <c r="L92" s="38"/>
      <c r="M92" s="71"/>
      <c r="N92" s="39"/>
      <c r="O92" s="39"/>
      <c r="P92" s="39"/>
      <c r="Q92" s="72"/>
      <c r="R92" s="44"/>
      <c r="S92" s="44"/>
      <c r="T92" s="44"/>
      <c r="U92" s="44"/>
      <c r="V92" s="40"/>
      <c r="W92" s="40"/>
      <c r="X92" s="45"/>
      <c r="Y92" s="45"/>
      <c r="Z92" s="45"/>
      <c r="AA92" s="45"/>
      <c r="AB92" s="41"/>
      <c r="AC92" s="41"/>
      <c r="AD92" s="41"/>
      <c r="AE92" s="41"/>
      <c r="AF92" s="41"/>
      <c r="AG92" s="41">
        <v>10</v>
      </c>
      <c r="AH92" s="42"/>
      <c r="AI92" s="42"/>
      <c r="AJ92" s="42"/>
      <c r="AK92" s="42"/>
      <c r="AL92" s="42"/>
      <c r="AM92" s="42"/>
      <c r="AN92" s="37"/>
      <c r="AO92" s="26"/>
    </row>
    <row r="93" spans="1:41" ht="24.9" customHeight="1" x14ac:dyDescent="0.25">
      <c r="A93" s="222" t="str">
        <f t="shared" si="29"/>
        <v>Ok</v>
      </c>
      <c r="B93" s="36"/>
      <c r="C93" s="158">
        <v>45720</v>
      </c>
      <c r="D93" s="73" t="s">
        <v>1169</v>
      </c>
      <c r="E93" s="156">
        <v>97.2</v>
      </c>
      <c r="F93" s="156"/>
      <c r="G93" s="225">
        <f t="shared" ref="G93:G102" si="30">G94-E93+F93</f>
        <v>4238.8999999999996</v>
      </c>
      <c r="H93" s="32"/>
      <c r="I93" s="13" t="s">
        <v>1170</v>
      </c>
      <c r="J93" s="47"/>
      <c r="K93" s="43"/>
      <c r="L93" s="38"/>
      <c r="M93" s="71"/>
      <c r="N93" s="39"/>
      <c r="O93" s="39"/>
      <c r="P93" s="39"/>
      <c r="Q93" s="72"/>
      <c r="R93" s="44"/>
      <c r="S93" s="44"/>
      <c r="T93" s="44"/>
      <c r="U93" s="44"/>
      <c r="V93" s="40"/>
      <c r="W93" s="40"/>
      <c r="X93" s="45"/>
      <c r="Y93" s="45"/>
      <c r="Z93" s="45"/>
      <c r="AA93" s="45"/>
      <c r="AB93" s="41"/>
      <c r="AC93" s="41">
        <v>80</v>
      </c>
      <c r="AD93" s="41"/>
      <c r="AE93" s="41"/>
      <c r="AF93" s="41"/>
      <c r="AG93" s="41"/>
      <c r="AH93" s="42"/>
      <c r="AI93" s="42"/>
      <c r="AJ93" s="42"/>
      <c r="AK93" s="42">
        <v>17.2</v>
      </c>
      <c r="AL93" s="42"/>
      <c r="AM93" s="42"/>
      <c r="AN93" s="37"/>
      <c r="AO93" s="26"/>
    </row>
    <row r="94" spans="1:41" ht="24.9" customHeight="1" x14ac:dyDescent="0.25">
      <c r="A94" s="222" t="str">
        <f t="shared" si="29"/>
        <v>Ok</v>
      </c>
      <c r="B94" s="36"/>
      <c r="C94" s="158">
        <v>45715</v>
      </c>
      <c r="D94" s="73" t="s">
        <v>1172</v>
      </c>
      <c r="E94" s="156"/>
      <c r="F94" s="156">
        <v>150.47999999999999</v>
      </c>
      <c r="G94" s="225">
        <f t="shared" si="30"/>
        <v>4336.0999999999995</v>
      </c>
      <c r="H94" s="32"/>
      <c r="I94" s="13" t="s">
        <v>1173</v>
      </c>
      <c r="J94" s="47"/>
      <c r="K94" s="43"/>
      <c r="L94" s="38"/>
      <c r="M94" s="71"/>
      <c r="N94" s="39"/>
      <c r="O94" s="39"/>
      <c r="P94" s="39"/>
      <c r="Q94" s="72"/>
      <c r="R94" s="44"/>
      <c r="S94" s="44"/>
      <c r="T94" s="44"/>
      <c r="U94" s="44"/>
      <c r="V94" s="40"/>
      <c r="W94" s="40"/>
      <c r="X94" s="45"/>
      <c r="Y94" s="45"/>
      <c r="Z94" s="45"/>
      <c r="AA94" s="45"/>
      <c r="AB94" s="41"/>
      <c r="AC94" s="41">
        <v>-150.47999999999999</v>
      </c>
      <c r="AD94" s="41"/>
      <c r="AE94" s="41"/>
      <c r="AF94" s="41"/>
      <c r="AG94" s="41"/>
      <c r="AH94" s="42"/>
      <c r="AI94" s="42"/>
      <c r="AJ94" s="42"/>
      <c r="AK94" s="42"/>
      <c r="AL94" s="42"/>
      <c r="AM94" s="42"/>
      <c r="AN94" s="37"/>
      <c r="AO94" s="26"/>
    </row>
    <row r="95" spans="1:41" ht="24.9" customHeight="1" x14ac:dyDescent="0.25">
      <c r="A95" s="222" t="str">
        <f t="shared" si="29"/>
        <v>Ok</v>
      </c>
      <c r="B95" s="36"/>
      <c r="C95" s="158">
        <v>45712</v>
      </c>
      <c r="D95" s="73" t="s">
        <v>1165</v>
      </c>
      <c r="E95" s="156"/>
      <c r="F95" s="156">
        <v>212.66</v>
      </c>
      <c r="G95" s="225">
        <f t="shared" si="30"/>
        <v>4185.62</v>
      </c>
      <c r="H95" s="32"/>
      <c r="I95" s="13" t="s">
        <v>1166</v>
      </c>
      <c r="J95" s="47"/>
      <c r="K95" s="43"/>
      <c r="L95" s="38"/>
      <c r="M95" s="71"/>
      <c r="N95" s="39"/>
      <c r="O95" s="39"/>
      <c r="P95" s="39"/>
      <c r="Q95" s="72"/>
      <c r="R95" s="44"/>
      <c r="S95" s="44"/>
      <c r="T95" s="44"/>
      <c r="U95" s="44"/>
      <c r="V95" s="40"/>
      <c r="W95" s="40"/>
      <c r="X95" s="45"/>
      <c r="Y95" s="45"/>
      <c r="Z95" s="45"/>
      <c r="AA95" s="45"/>
      <c r="AB95" s="41"/>
      <c r="AC95" s="41">
        <v>-212.66</v>
      </c>
      <c r="AD95" s="41"/>
      <c r="AE95" s="41"/>
      <c r="AF95" s="41"/>
      <c r="AG95" s="41"/>
      <c r="AH95" s="42"/>
      <c r="AI95" s="42"/>
      <c r="AJ95" s="42"/>
      <c r="AK95" s="42"/>
      <c r="AL95" s="42"/>
      <c r="AM95" s="42"/>
      <c r="AN95" s="37"/>
      <c r="AO95" s="26"/>
    </row>
    <row r="96" spans="1:41" ht="24.9" customHeight="1" x14ac:dyDescent="0.25">
      <c r="A96" s="222" t="str">
        <f t="shared" si="29"/>
        <v>Ok</v>
      </c>
      <c r="B96" s="36"/>
      <c r="C96" s="355">
        <v>45707</v>
      </c>
      <c r="D96" s="356" t="s">
        <v>1160</v>
      </c>
      <c r="E96" s="357">
        <v>42</v>
      </c>
      <c r="F96" s="156"/>
      <c r="G96" s="225">
        <f t="shared" si="30"/>
        <v>3972.96</v>
      </c>
      <c r="H96" s="32"/>
      <c r="I96" s="13" t="s">
        <v>1168</v>
      </c>
      <c r="J96" s="47"/>
      <c r="K96" s="43"/>
      <c r="L96" s="38"/>
      <c r="M96" s="71"/>
      <c r="N96" s="39"/>
      <c r="O96" s="39"/>
      <c r="P96" s="39"/>
      <c r="Q96" s="72"/>
      <c r="R96" s="44"/>
      <c r="S96" s="44"/>
      <c r="T96" s="44"/>
      <c r="U96" s="44"/>
      <c r="V96" s="40"/>
      <c r="W96" s="40"/>
      <c r="X96" s="45"/>
      <c r="Y96" s="45"/>
      <c r="Z96" s="45"/>
      <c r="AA96" s="45"/>
      <c r="AB96" s="41"/>
      <c r="AC96" s="41"/>
      <c r="AD96" s="41"/>
      <c r="AE96" s="41"/>
      <c r="AF96" s="41"/>
      <c r="AG96" s="41"/>
      <c r="AH96" s="42"/>
      <c r="AI96" s="42"/>
      <c r="AJ96" s="42"/>
      <c r="AK96" s="42"/>
      <c r="AL96" s="42"/>
      <c r="AM96" s="42"/>
      <c r="AN96" s="37">
        <v>42</v>
      </c>
      <c r="AO96" s="26"/>
    </row>
    <row r="97" spans="1:41" ht="22.2" x14ac:dyDescent="0.25">
      <c r="A97" s="222" t="str">
        <f t="shared" si="29"/>
        <v>Ok</v>
      </c>
      <c r="B97" s="36"/>
      <c r="C97" s="158">
        <v>45709</v>
      </c>
      <c r="D97" s="73" t="s">
        <v>881</v>
      </c>
      <c r="E97" s="156">
        <v>32</v>
      </c>
      <c r="F97" s="156"/>
      <c r="G97" s="225">
        <f t="shared" si="30"/>
        <v>4014.96</v>
      </c>
      <c r="H97" s="32"/>
      <c r="I97" s="13" t="s">
        <v>850</v>
      </c>
      <c r="J97" s="47"/>
      <c r="K97" s="43"/>
      <c r="L97" s="38"/>
      <c r="M97" s="71"/>
      <c r="N97" s="39"/>
      <c r="O97" s="39"/>
      <c r="P97" s="39"/>
      <c r="Q97" s="72"/>
      <c r="R97" s="44"/>
      <c r="S97" s="44"/>
      <c r="T97" s="44"/>
      <c r="U97" s="44"/>
      <c r="V97" s="40"/>
      <c r="W97" s="40"/>
      <c r="X97" s="45"/>
      <c r="Y97" s="45"/>
      <c r="Z97" s="45"/>
      <c r="AA97" s="45"/>
      <c r="AB97" s="41"/>
      <c r="AC97" s="41">
        <v>32</v>
      </c>
      <c r="AD97" s="41"/>
      <c r="AE97" s="41"/>
      <c r="AF97" s="41"/>
      <c r="AG97" s="41"/>
      <c r="AH97" s="42"/>
      <c r="AI97" s="42"/>
      <c r="AJ97" s="42"/>
      <c r="AK97" s="42"/>
      <c r="AL97" s="42"/>
      <c r="AM97" s="42"/>
      <c r="AN97" s="37"/>
      <c r="AO97" s="26"/>
    </row>
    <row r="98" spans="1:41" ht="41.4" x14ac:dyDescent="0.25">
      <c r="A98" s="222" t="str">
        <f t="shared" si="29"/>
        <v>Ok</v>
      </c>
      <c r="B98" s="36"/>
      <c r="C98" s="355">
        <v>45705</v>
      </c>
      <c r="D98" s="356" t="s">
        <v>1159</v>
      </c>
      <c r="E98" s="357">
        <v>108</v>
      </c>
      <c r="F98" s="156"/>
      <c r="G98" s="225">
        <f t="shared" si="30"/>
        <v>4046.96</v>
      </c>
      <c r="H98" s="32"/>
      <c r="I98" s="13" t="s">
        <v>1158</v>
      </c>
      <c r="J98" s="47"/>
      <c r="K98" s="43"/>
      <c r="L98" s="38"/>
      <c r="M98" s="71"/>
      <c r="N98" s="39"/>
      <c r="O98" s="39"/>
      <c r="P98" s="39">
        <v>108</v>
      </c>
      <c r="Q98" s="72"/>
      <c r="R98" s="44"/>
      <c r="S98" s="44"/>
      <c r="T98" s="44"/>
      <c r="U98" s="44"/>
      <c r="V98" s="40"/>
      <c r="W98" s="40"/>
      <c r="X98" s="45"/>
      <c r="Y98" s="45"/>
      <c r="Z98" s="45"/>
      <c r="AA98" s="45"/>
      <c r="AB98" s="41"/>
      <c r="AC98" s="41"/>
      <c r="AD98" s="41"/>
      <c r="AE98" s="41"/>
      <c r="AF98" s="41"/>
      <c r="AG98" s="41"/>
      <c r="AH98" s="42"/>
      <c r="AI98" s="42"/>
      <c r="AJ98" s="42"/>
      <c r="AK98" s="42"/>
      <c r="AL98" s="42"/>
      <c r="AM98" s="42"/>
      <c r="AN98" s="37"/>
      <c r="AO98" s="26"/>
    </row>
    <row r="99" spans="1:41" ht="24.9" customHeight="1" x14ac:dyDescent="0.25">
      <c r="A99" s="222" t="str">
        <f t="shared" si="29"/>
        <v>Ok</v>
      </c>
      <c r="B99" s="36"/>
      <c r="C99" s="355">
        <v>45705</v>
      </c>
      <c r="D99" s="356" t="s">
        <v>1156</v>
      </c>
      <c r="E99" s="357">
        <v>8</v>
      </c>
      <c r="F99" s="156"/>
      <c r="G99" s="225">
        <f t="shared" si="30"/>
        <v>4154.96</v>
      </c>
      <c r="H99" s="32"/>
      <c r="I99" s="13" t="s">
        <v>1157</v>
      </c>
      <c r="J99" s="47"/>
      <c r="K99" s="43"/>
      <c r="L99" s="38"/>
      <c r="M99" s="71"/>
      <c r="N99" s="39"/>
      <c r="O99" s="39"/>
      <c r="P99" s="39"/>
      <c r="Q99" s="72"/>
      <c r="R99" s="44">
        <v>8</v>
      </c>
      <c r="S99" s="44"/>
      <c r="T99" s="44"/>
      <c r="U99" s="44"/>
      <c r="V99" s="40"/>
      <c r="W99" s="40"/>
      <c r="X99" s="45"/>
      <c r="Y99" s="45"/>
      <c r="Z99" s="45"/>
      <c r="AA99" s="45"/>
      <c r="AB99" s="41"/>
      <c r="AC99" s="41"/>
      <c r="AD99" s="41"/>
      <c r="AE99" s="41"/>
      <c r="AF99" s="41"/>
      <c r="AG99" s="41"/>
      <c r="AH99" s="42"/>
      <c r="AI99" s="42"/>
      <c r="AJ99" s="42"/>
      <c r="AK99" s="42"/>
      <c r="AL99" s="42"/>
      <c r="AM99" s="42"/>
      <c r="AN99" s="37"/>
      <c r="AO99" s="26"/>
    </row>
    <row r="100" spans="1:41" ht="24.9" customHeight="1" x14ac:dyDescent="0.25">
      <c r="A100" s="222" t="str">
        <f t="shared" si="29"/>
        <v>Ok</v>
      </c>
      <c r="B100" s="36"/>
      <c r="C100" s="158">
        <v>45701</v>
      </c>
      <c r="D100" s="73" t="s">
        <v>1155</v>
      </c>
      <c r="E100" s="156">
        <v>165.05</v>
      </c>
      <c r="F100" s="156"/>
      <c r="G100" s="225">
        <f t="shared" si="30"/>
        <v>4162.96</v>
      </c>
      <c r="H100" s="32"/>
      <c r="I100" s="13" t="s">
        <v>1155</v>
      </c>
      <c r="J100" s="47"/>
      <c r="K100" s="43"/>
      <c r="L100" s="38"/>
      <c r="M100" s="71"/>
      <c r="N100" s="39"/>
      <c r="O100" s="39"/>
      <c r="P100" s="39"/>
      <c r="Q100" s="72"/>
      <c r="R100" s="44"/>
      <c r="S100" s="44"/>
      <c r="T100" s="44"/>
      <c r="U100" s="44"/>
      <c r="V100" s="40"/>
      <c r="W100" s="40"/>
      <c r="X100" s="45"/>
      <c r="Y100" s="45"/>
      <c r="Z100" s="45"/>
      <c r="AA100" s="45"/>
      <c r="AB100" s="41"/>
      <c r="AC100" s="41"/>
      <c r="AD100" s="41"/>
      <c r="AE100" s="41"/>
      <c r="AF100" s="41"/>
      <c r="AG100" s="41"/>
      <c r="AH100" s="42"/>
      <c r="AI100" s="42"/>
      <c r="AJ100" s="42"/>
      <c r="AK100" s="42"/>
      <c r="AL100" s="42"/>
      <c r="AM100" s="42">
        <v>165.05</v>
      </c>
      <c r="AN100" s="37"/>
      <c r="AO100" s="26"/>
    </row>
    <row r="101" spans="1:41" ht="24.9" customHeight="1" x14ac:dyDescent="0.25">
      <c r="A101" s="222" t="str">
        <f t="shared" si="29"/>
        <v>Ok</v>
      </c>
      <c r="B101" s="36"/>
      <c r="C101" s="158">
        <v>45701</v>
      </c>
      <c r="D101" s="73" t="s">
        <v>1155</v>
      </c>
      <c r="E101" s="156">
        <v>56.72</v>
      </c>
      <c r="F101" s="156"/>
      <c r="G101" s="225">
        <f t="shared" si="30"/>
        <v>4328.01</v>
      </c>
      <c r="H101" s="32"/>
      <c r="I101" s="13" t="s">
        <v>1155</v>
      </c>
      <c r="J101" s="47"/>
      <c r="K101" s="43"/>
      <c r="L101" s="38"/>
      <c r="M101" s="71"/>
      <c r="N101" s="39"/>
      <c r="O101" s="39"/>
      <c r="P101" s="39"/>
      <c r="Q101" s="72"/>
      <c r="R101" s="44"/>
      <c r="S101" s="44"/>
      <c r="T101" s="44"/>
      <c r="U101" s="44"/>
      <c r="V101" s="40"/>
      <c r="W101" s="40"/>
      <c r="X101" s="45"/>
      <c r="Y101" s="45"/>
      <c r="Z101" s="45"/>
      <c r="AA101" s="45"/>
      <c r="AB101" s="41"/>
      <c r="AC101" s="41"/>
      <c r="AD101" s="41"/>
      <c r="AE101" s="41"/>
      <c r="AF101" s="41"/>
      <c r="AG101" s="41"/>
      <c r="AH101" s="42"/>
      <c r="AI101" s="42"/>
      <c r="AJ101" s="42"/>
      <c r="AK101" s="42"/>
      <c r="AL101" s="42"/>
      <c r="AM101" s="42">
        <v>56.72</v>
      </c>
      <c r="AN101" s="37"/>
      <c r="AO101" s="26"/>
    </row>
    <row r="102" spans="1:41" ht="24.9" customHeight="1" x14ac:dyDescent="0.25">
      <c r="A102" s="222" t="str">
        <f t="shared" si="29"/>
        <v>Ok</v>
      </c>
      <c r="B102" s="36"/>
      <c r="C102" s="158">
        <v>45699</v>
      </c>
      <c r="D102" s="73" t="s">
        <v>1150</v>
      </c>
      <c r="E102" s="156"/>
      <c r="F102" s="156">
        <v>30</v>
      </c>
      <c r="G102" s="225">
        <f t="shared" si="30"/>
        <v>4384.7300000000005</v>
      </c>
      <c r="H102" s="32"/>
      <c r="I102" s="13" t="s">
        <v>1151</v>
      </c>
      <c r="J102" s="47"/>
      <c r="K102" s="43"/>
      <c r="L102" s="38"/>
      <c r="M102" s="71"/>
      <c r="N102" s="39"/>
      <c r="O102" s="39"/>
      <c r="P102" s="39"/>
      <c r="Q102" s="72"/>
      <c r="R102" s="44"/>
      <c r="S102" s="44"/>
      <c r="T102" s="44"/>
      <c r="U102" s="44"/>
      <c r="V102" s="40"/>
      <c r="W102" s="40"/>
      <c r="X102" s="45"/>
      <c r="Y102" s="45"/>
      <c r="Z102" s="45"/>
      <c r="AA102" s="45"/>
      <c r="AB102" s="41"/>
      <c r="AC102" s="41"/>
      <c r="AD102" s="41"/>
      <c r="AE102" s="41"/>
      <c r="AF102" s="41"/>
      <c r="AG102" s="41">
        <v>30</v>
      </c>
      <c r="AH102" s="42"/>
      <c r="AI102" s="42"/>
      <c r="AJ102" s="42"/>
      <c r="AK102" s="42"/>
      <c r="AL102" s="42"/>
      <c r="AM102" s="42"/>
      <c r="AN102" s="37"/>
      <c r="AO102" s="26"/>
    </row>
    <row r="103" spans="1:41" ht="24.9" customHeight="1" x14ac:dyDescent="0.25">
      <c r="A103" s="222" t="str">
        <f t="shared" si="29"/>
        <v>Ok</v>
      </c>
      <c r="B103" s="36"/>
      <c r="C103" s="158">
        <v>45695</v>
      </c>
      <c r="D103" s="73" t="s">
        <v>1152</v>
      </c>
      <c r="E103" s="156"/>
      <c r="F103" s="156">
        <v>22</v>
      </c>
      <c r="G103" s="225">
        <f t="shared" ref="G103:G105" si="31">G104-E103+F103</f>
        <v>4354.7300000000005</v>
      </c>
      <c r="H103" s="32"/>
      <c r="I103" s="13" t="s">
        <v>931</v>
      </c>
      <c r="J103" s="47"/>
      <c r="K103" s="43"/>
      <c r="L103" s="38"/>
      <c r="M103" s="71"/>
      <c r="N103" s="39"/>
      <c r="O103" s="39"/>
      <c r="P103" s="39"/>
      <c r="Q103" s="72"/>
      <c r="R103" s="44"/>
      <c r="S103" s="44"/>
      <c r="T103" s="44">
        <v>18</v>
      </c>
      <c r="U103" s="44"/>
      <c r="V103" s="40"/>
      <c r="W103" s="40"/>
      <c r="X103" s="45"/>
      <c r="Y103" s="45"/>
      <c r="Z103" s="45"/>
      <c r="AA103" s="45"/>
      <c r="AB103" s="41"/>
      <c r="AC103" s="41"/>
      <c r="AD103" s="41"/>
      <c r="AE103" s="41"/>
      <c r="AF103" s="41"/>
      <c r="AG103" s="41">
        <v>4</v>
      </c>
      <c r="AH103" s="42"/>
      <c r="AI103" s="42"/>
      <c r="AJ103" s="42"/>
      <c r="AK103" s="42"/>
      <c r="AL103" s="42"/>
      <c r="AM103" s="42"/>
      <c r="AN103" s="37"/>
      <c r="AO103" s="26"/>
    </row>
    <row r="104" spans="1:41" ht="24.9" customHeight="1" x14ac:dyDescent="0.25">
      <c r="A104" s="222" t="str">
        <f t="shared" si="29"/>
        <v>Ok</v>
      </c>
      <c r="B104" s="36"/>
      <c r="C104" s="158">
        <v>45692</v>
      </c>
      <c r="D104" s="73" t="s">
        <v>1135</v>
      </c>
      <c r="E104" s="156"/>
      <c r="F104" s="156">
        <v>8</v>
      </c>
      <c r="G104" s="225">
        <f t="shared" si="31"/>
        <v>4332.7300000000005</v>
      </c>
      <c r="H104" s="32"/>
      <c r="I104" s="13" t="s">
        <v>1134</v>
      </c>
      <c r="J104" s="47"/>
      <c r="K104" s="43"/>
      <c r="L104" s="38"/>
      <c r="M104" s="71"/>
      <c r="N104" s="39"/>
      <c r="O104" s="39"/>
      <c r="P104" s="39"/>
      <c r="Q104" s="72"/>
      <c r="R104" s="44"/>
      <c r="S104" s="44">
        <v>8</v>
      </c>
      <c r="T104" s="44"/>
      <c r="U104" s="44"/>
      <c r="V104" s="40"/>
      <c r="W104" s="40"/>
      <c r="X104" s="45"/>
      <c r="Y104" s="45"/>
      <c r="Z104" s="45"/>
      <c r="AA104" s="45"/>
      <c r="AB104" s="41"/>
      <c r="AC104" s="41"/>
      <c r="AD104" s="41"/>
      <c r="AE104" s="41"/>
      <c r="AF104" s="41"/>
      <c r="AG104" s="41"/>
      <c r="AH104" s="42"/>
      <c r="AI104" s="42"/>
      <c r="AJ104" s="42"/>
      <c r="AK104" s="42"/>
      <c r="AL104" s="42"/>
      <c r="AM104" s="42"/>
      <c r="AN104" s="37"/>
      <c r="AO104" s="26"/>
    </row>
    <row r="105" spans="1:41" ht="24.9" customHeight="1" x14ac:dyDescent="0.25">
      <c r="A105" s="222" t="str">
        <f t="shared" si="29"/>
        <v>Ok</v>
      </c>
      <c r="B105" s="36"/>
      <c r="C105" s="158">
        <v>45692</v>
      </c>
      <c r="D105" s="73" t="s">
        <v>1135</v>
      </c>
      <c r="E105" s="156"/>
      <c r="F105" s="156">
        <v>20</v>
      </c>
      <c r="G105" s="225">
        <f t="shared" si="31"/>
        <v>4324.7300000000005</v>
      </c>
      <c r="H105" s="32"/>
      <c r="I105" s="13" t="s">
        <v>1136</v>
      </c>
      <c r="J105" s="47"/>
      <c r="K105" s="43"/>
      <c r="L105" s="38"/>
      <c r="M105" s="71"/>
      <c r="N105" s="39"/>
      <c r="O105" s="39"/>
      <c r="P105" s="39"/>
      <c r="Q105" s="72"/>
      <c r="R105" s="44"/>
      <c r="S105" s="44"/>
      <c r="T105" s="44"/>
      <c r="U105" s="44"/>
      <c r="V105" s="40"/>
      <c r="W105" s="40"/>
      <c r="X105" s="45"/>
      <c r="Y105" s="45"/>
      <c r="Z105" s="45"/>
      <c r="AA105" s="45"/>
      <c r="AB105" s="41"/>
      <c r="AC105" s="41"/>
      <c r="AD105" s="41"/>
      <c r="AE105" s="41"/>
      <c r="AF105" s="41"/>
      <c r="AG105" s="41">
        <v>20</v>
      </c>
      <c r="AH105" s="42"/>
      <c r="AI105" s="42"/>
      <c r="AJ105" s="42"/>
      <c r="AK105" s="42"/>
      <c r="AL105" s="42"/>
      <c r="AM105" s="42"/>
      <c r="AN105" s="37"/>
      <c r="AO105" s="26"/>
    </row>
    <row r="106" spans="1:41" ht="24.9" customHeight="1" x14ac:dyDescent="0.25">
      <c r="A106" s="222" t="str">
        <f t="shared" si="29"/>
        <v>Ok</v>
      </c>
      <c r="B106" s="36"/>
      <c r="C106" s="158">
        <v>45688</v>
      </c>
      <c r="D106" s="73" t="s">
        <v>893</v>
      </c>
      <c r="E106" s="156">
        <v>181.4</v>
      </c>
      <c r="F106" s="156"/>
      <c r="G106" s="225">
        <f t="shared" ref="G106:G109" si="32">G107-E106+F106</f>
        <v>4304.7300000000005</v>
      </c>
      <c r="H106" s="32"/>
      <c r="I106" s="13" t="s">
        <v>894</v>
      </c>
      <c r="J106" s="47"/>
      <c r="K106" s="43"/>
      <c r="L106" s="38"/>
      <c r="M106" s="71"/>
      <c r="N106" s="39">
        <v>132.19999999999999</v>
      </c>
      <c r="O106" s="39">
        <v>49.2</v>
      </c>
      <c r="P106" s="39"/>
      <c r="Q106" s="72"/>
      <c r="R106" s="44"/>
      <c r="S106" s="44"/>
      <c r="T106" s="44"/>
      <c r="U106" s="44"/>
      <c r="V106" s="40"/>
      <c r="W106" s="40"/>
      <c r="X106" s="45"/>
      <c r="Y106" s="45"/>
      <c r="Z106" s="45"/>
      <c r="AA106" s="45"/>
      <c r="AB106" s="41"/>
      <c r="AC106" s="41"/>
      <c r="AD106" s="41"/>
      <c r="AE106" s="41"/>
      <c r="AF106" s="41"/>
      <c r="AG106" s="41"/>
      <c r="AH106" s="42"/>
      <c r="AI106" s="42"/>
      <c r="AJ106" s="42"/>
      <c r="AK106" s="42"/>
      <c r="AL106" s="42"/>
      <c r="AM106" s="42"/>
      <c r="AN106" s="37"/>
      <c r="AO106" s="26"/>
    </row>
    <row r="107" spans="1:41" ht="24.9" customHeight="1" x14ac:dyDescent="0.25">
      <c r="A107" s="222" t="str">
        <f t="shared" si="29"/>
        <v>Ok</v>
      </c>
      <c r="B107" s="36"/>
      <c r="C107" s="158">
        <v>45682</v>
      </c>
      <c r="D107" s="73" t="s">
        <v>1064</v>
      </c>
      <c r="E107" s="156"/>
      <c r="F107" s="156">
        <v>30</v>
      </c>
      <c r="G107" s="225">
        <f t="shared" si="32"/>
        <v>4486.13</v>
      </c>
      <c r="H107" s="32"/>
      <c r="I107" s="13" t="s">
        <v>1066</v>
      </c>
      <c r="J107" s="47"/>
      <c r="K107" s="43"/>
      <c r="L107" s="38"/>
      <c r="M107" s="71"/>
      <c r="N107" s="39"/>
      <c r="O107" s="39"/>
      <c r="P107" s="39"/>
      <c r="Q107" s="72"/>
      <c r="R107" s="44"/>
      <c r="S107" s="44"/>
      <c r="T107" s="44"/>
      <c r="U107" s="44"/>
      <c r="V107" s="40"/>
      <c r="W107" s="40"/>
      <c r="X107" s="45"/>
      <c r="Y107" s="45"/>
      <c r="Z107" s="45"/>
      <c r="AA107" s="45"/>
      <c r="AB107" s="41"/>
      <c r="AC107" s="41"/>
      <c r="AD107" s="41"/>
      <c r="AE107" s="41"/>
      <c r="AF107" s="41"/>
      <c r="AG107" s="41">
        <v>30</v>
      </c>
      <c r="AH107" s="42"/>
      <c r="AI107" s="42"/>
      <c r="AJ107" s="42"/>
      <c r="AK107" s="42"/>
      <c r="AL107" s="42"/>
      <c r="AM107" s="42"/>
      <c r="AN107" s="37"/>
      <c r="AO107" s="26"/>
    </row>
    <row r="108" spans="1:41" ht="24.9" customHeight="1" x14ac:dyDescent="0.25">
      <c r="A108" s="222" t="str">
        <f t="shared" si="29"/>
        <v>Ok</v>
      </c>
      <c r="B108" s="36"/>
      <c r="C108" s="158">
        <v>45682</v>
      </c>
      <c r="D108" s="73" t="s">
        <v>1064</v>
      </c>
      <c r="E108" s="156"/>
      <c r="F108" s="156">
        <v>30</v>
      </c>
      <c r="G108" s="225">
        <f t="shared" si="32"/>
        <v>4456.13</v>
      </c>
      <c r="H108" s="32"/>
      <c r="I108" s="13" t="s">
        <v>1065</v>
      </c>
      <c r="J108" s="47"/>
      <c r="K108" s="43"/>
      <c r="L108" s="38"/>
      <c r="M108" s="71"/>
      <c r="N108" s="39"/>
      <c r="O108" s="39"/>
      <c r="P108" s="39"/>
      <c r="Q108" s="72"/>
      <c r="R108" s="44"/>
      <c r="S108" s="44"/>
      <c r="T108" s="44"/>
      <c r="U108" s="44"/>
      <c r="V108" s="40"/>
      <c r="W108" s="40"/>
      <c r="X108" s="45"/>
      <c r="Y108" s="45"/>
      <c r="Z108" s="45"/>
      <c r="AA108" s="45"/>
      <c r="AB108" s="41"/>
      <c r="AC108" s="41"/>
      <c r="AD108" s="41"/>
      <c r="AE108" s="41"/>
      <c r="AF108" s="41"/>
      <c r="AG108" s="41">
        <v>30</v>
      </c>
      <c r="AH108" s="42"/>
      <c r="AI108" s="42"/>
      <c r="AJ108" s="42"/>
      <c r="AK108" s="42"/>
      <c r="AL108" s="42"/>
      <c r="AM108" s="42"/>
      <c r="AN108" s="37"/>
      <c r="AO108" s="26"/>
    </row>
    <row r="109" spans="1:41" ht="24.9" customHeight="1" x14ac:dyDescent="0.25">
      <c r="A109" s="222" t="str">
        <f t="shared" si="29"/>
        <v>Ok</v>
      </c>
      <c r="B109" s="36"/>
      <c r="C109" s="158">
        <v>45679</v>
      </c>
      <c r="D109" s="73" t="s">
        <v>1072</v>
      </c>
      <c r="E109" s="156"/>
      <c r="F109" s="156">
        <v>313.39999999999998</v>
      </c>
      <c r="G109" s="225">
        <f t="shared" si="32"/>
        <v>4426.13</v>
      </c>
      <c r="H109" s="32"/>
      <c r="I109" s="13" t="s">
        <v>1073</v>
      </c>
      <c r="J109" s="47"/>
      <c r="K109" s="43"/>
      <c r="L109" s="38"/>
      <c r="M109" s="71"/>
      <c r="N109" s="39"/>
      <c r="O109" s="39"/>
      <c r="P109" s="39"/>
      <c r="Q109" s="72"/>
      <c r="R109" s="44"/>
      <c r="S109" s="44"/>
      <c r="T109" s="44"/>
      <c r="U109" s="44"/>
      <c r="V109" s="40"/>
      <c r="W109" s="40"/>
      <c r="X109" s="45"/>
      <c r="Y109" s="45">
        <v>313.39999999999998</v>
      </c>
      <c r="Z109" s="45"/>
      <c r="AA109" s="45"/>
      <c r="AB109" s="41"/>
      <c r="AC109" s="41"/>
      <c r="AD109" s="41"/>
      <c r="AE109" s="41"/>
      <c r="AF109" s="41"/>
      <c r="AG109" s="41"/>
      <c r="AH109" s="42"/>
      <c r="AI109" s="42"/>
      <c r="AJ109" s="42"/>
      <c r="AK109" s="42"/>
      <c r="AL109" s="42"/>
      <c r="AM109" s="42"/>
      <c r="AN109" s="37"/>
      <c r="AO109" s="26"/>
    </row>
    <row r="110" spans="1:41" ht="24.9" customHeight="1" x14ac:dyDescent="0.25">
      <c r="A110" s="222" t="str">
        <f t="shared" si="29"/>
        <v>Ok</v>
      </c>
      <c r="B110" s="36"/>
      <c r="C110" s="158">
        <v>45679</v>
      </c>
      <c r="D110" s="73" t="s">
        <v>1062</v>
      </c>
      <c r="E110" s="156">
        <v>94</v>
      </c>
      <c r="F110" s="156"/>
      <c r="G110" s="225">
        <f t="shared" ref="G110:G112" si="33">G111-E110+F110</f>
        <v>4112.7300000000005</v>
      </c>
      <c r="H110" s="32"/>
      <c r="I110" s="13" t="s">
        <v>1063</v>
      </c>
      <c r="J110" s="47"/>
      <c r="K110" s="43"/>
      <c r="L110" s="38"/>
      <c r="M110" s="71"/>
      <c r="N110" s="39"/>
      <c r="O110" s="39"/>
      <c r="P110" s="39"/>
      <c r="Q110" s="72"/>
      <c r="R110" s="44"/>
      <c r="S110" s="44"/>
      <c r="T110" s="44"/>
      <c r="U110" s="44"/>
      <c r="V110" s="40"/>
      <c r="W110" s="40"/>
      <c r="X110" s="45"/>
      <c r="Y110" s="45"/>
      <c r="Z110" s="45"/>
      <c r="AA110" s="45"/>
      <c r="AB110" s="41"/>
      <c r="AC110" s="41"/>
      <c r="AD110" s="41"/>
      <c r="AE110" s="41"/>
      <c r="AF110" s="41"/>
      <c r="AG110" s="41"/>
      <c r="AH110" s="42"/>
      <c r="AI110" s="42"/>
      <c r="AJ110" s="42"/>
      <c r="AK110" s="42"/>
      <c r="AL110" s="42"/>
      <c r="AM110" s="42"/>
      <c r="AN110" s="37">
        <v>94</v>
      </c>
      <c r="AO110" s="26"/>
    </row>
    <row r="111" spans="1:41" ht="24.9" customHeight="1" x14ac:dyDescent="0.25">
      <c r="A111" s="222" t="str">
        <f t="shared" si="29"/>
        <v>Ok</v>
      </c>
      <c r="B111" s="36"/>
      <c r="C111" s="158">
        <v>45678</v>
      </c>
      <c r="D111" s="73" t="s">
        <v>1055</v>
      </c>
      <c r="E111" s="156">
        <v>124.24</v>
      </c>
      <c r="F111" s="156"/>
      <c r="G111" s="225">
        <f t="shared" si="33"/>
        <v>4206.7300000000005</v>
      </c>
      <c r="H111" s="32"/>
      <c r="I111" s="13" t="s">
        <v>1057</v>
      </c>
      <c r="J111" s="47"/>
      <c r="K111" s="43"/>
      <c r="L111" s="38"/>
      <c r="M111" s="71"/>
      <c r="N111" s="39"/>
      <c r="O111" s="39"/>
      <c r="P111" s="39"/>
      <c r="Q111" s="72"/>
      <c r="R111" s="44"/>
      <c r="S111" s="44"/>
      <c r="T111" s="44"/>
      <c r="U111" s="44"/>
      <c r="V111" s="40"/>
      <c r="W111" s="40"/>
      <c r="X111" s="45">
        <v>124.24</v>
      </c>
      <c r="Y111" s="45"/>
      <c r="Z111" s="45"/>
      <c r="AA111" s="45"/>
      <c r="AB111" s="41"/>
      <c r="AC111" s="41"/>
      <c r="AD111" s="41"/>
      <c r="AE111" s="41"/>
      <c r="AF111" s="41"/>
      <c r="AG111" s="41"/>
      <c r="AH111" s="42"/>
      <c r="AI111" s="42"/>
      <c r="AJ111" s="42"/>
      <c r="AK111" s="42"/>
      <c r="AL111" s="42"/>
      <c r="AM111" s="42"/>
      <c r="AN111" s="37"/>
      <c r="AO111" s="26"/>
    </row>
    <row r="112" spans="1:41" ht="24.9" customHeight="1" x14ac:dyDescent="0.25">
      <c r="A112" s="222" t="str">
        <f t="shared" si="29"/>
        <v>Ok</v>
      </c>
      <c r="B112" s="36"/>
      <c r="C112" s="158">
        <v>45678</v>
      </c>
      <c r="D112" s="73" t="s">
        <v>1055</v>
      </c>
      <c r="E112" s="156">
        <v>47</v>
      </c>
      <c r="F112" s="156"/>
      <c r="G112" s="225">
        <f t="shared" si="33"/>
        <v>4330.97</v>
      </c>
      <c r="H112" s="32"/>
      <c r="I112" s="13" t="s">
        <v>1056</v>
      </c>
      <c r="J112" s="47"/>
      <c r="K112" s="43"/>
      <c r="L112" s="38"/>
      <c r="M112" s="71"/>
      <c r="N112" s="39"/>
      <c r="O112" s="39"/>
      <c r="P112" s="39"/>
      <c r="Q112" s="72"/>
      <c r="R112" s="44"/>
      <c r="S112" s="44"/>
      <c r="T112" s="44"/>
      <c r="U112" s="44"/>
      <c r="V112" s="40"/>
      <c r="W112" s="40"/>
      <c r="X112" s="45"/>
      <c r="Y112" s="45"/>
      <c r="Z112" s="45"/>
      <c r="AA112" s="45"/>
      <c r="AB112" s="41"/>
      <c r="AC112" s="41"/>
      <c r="AD112" s="41">
        <v>47</v>
      </c>
      <c r="AE112" s="41"/>
      <c r="AF112" s="41"/>
      <c r="AG112" s="41"/>
      <c r="AH112" s="42"/>
      <c r="AI112" s="42"/>
      <c r="AJ112" s="42"/>
      <c r="AK112" s="42"/>
      <c r="AL112" s="42"/>
      <c r="AM112" s="42"/>
      <c r="AN112" s="37"/>
      <c r="AO112" s="26"/>
    </row>
    <row r="113" spans="1:41" ht="24.9" customHeight="1" x14ac:dyDescent="0.25">
      <c r="A113" s="222" t="str">
        <f t="shared" si="29"/>
        <v>Ok</v>
      </c>
      <c r="B113" s="36"/>
      <c r="C113" s="158">
        <v>45677</v>
      </c>
      <c r="D113" s="73" t="s">
        <v>954</v>
      </c>
      <c r="E113" s="156">
        <v>274.12</v>
      </c>
      <c r="F113" s="156"/>
      <c r="G113" s="225">
        <f t="shared" ref="G113:G114" si="34">G114-E113+F113</f>
        <v>4377.97</v>
      </c>
      <c r="H113" s="32"/>
      <c r="I113" s="13" t="s">
        <v>955</v>
      </c>
      <c r="J113" s="47"/>
      <c r="K113" s="43"/>
      <c r="L113" s="38"/>
      <c r="M113" s="71"/>
      <c r="N113" s="39"/>
      <c r="O113" s="39"/>
      <c r="P113" s="39"/>
      <c r="Q113" s="72"/>
      <c r="R113" s="44"/>
      <c r="S113" s="44"/>
      <c r="T113" s="44"/>
      <c r="U113" s="44"/>
      <c r="V113" s="40"/>
      <c r="W113" s="40"/>
      <c r="X113" s="45">
        <v>274.12</v>
      </c>
      <c r="Y113" s="45"/>
      <c r="Z113" s="45"/>
      <c r="AA113" s="45"/>
      <c r="AB113" s="41"/>
      <c r="AC113" s="41"/>
      <c r="AD113" s="41"/>
      <c r="AE113" s="41"/>
      <c r="AF113" s="41"/>
      <c r="AG113" s="41"/>
      <c r="AH113" s="42"/>
      <c r="AI113" s="42"/>
      <c r="AJ113" s="42"/>
      <c r="AK113" s="42"/>
      <c r="AL113" s="42"/>
      <c r="AM113" s="42"/>
      <c r="AN113" s="37"/>
      <c r="AO113" s="26"/>
    </row>
    <row r="114" spans="1:41" ht="24.9" customHeight="1" x14ac:dyDescent="0.25">
      <c r="A114" s="222" t="str">
        <f t="shared" si="29"/>
        <v>Ok</v>
      </c>
      <c r="B114" s="36"/>
      <c r="C114" s="250">
        <v>40928</v>
      </c>
      <c r="D114" s="248" t="s">
        <v>1048</v>
      </c>
      <c r="E114" s="249"/>
      <c r="F114" s="249">
        <v>10</v>
      </c>
      <c r="G114" s="225">
        <f t="shared" si="34"/>
        <v>4652.09</v>
      </c>
      <c r="H114" s="32"/>
      <c r="I114" s="13" t="s">
        <v>1049</v>
      </c>
      <c r="J114" s="47"/>
      <c r="K114" s="43"/>
      <c r="L114" s="38"/>
      <c r="M114" s="71"/>
      <c r="N114" s="39"/>
      <c r="O114" s="39"/>
      <c r="P114" s="39"/>
      <c r="Q114" s="72"/>
      <c r="R114" s="44"/>
      <c r="S114" s="44"/>
      <c r="T114" s="44"/>
      <c r="U114" s="44"/>
      <c r="V114" s="40"/>
      <c r="W114" s="40"/>
      <c r="X114" s="45"/>
      <c r="Y114" s="45">
        <v>10</v>
      </c>
      <c r="Z114" s="45"/>
      <c r="AA114" s="45"/>
      <c r="AB114" s="41"/>
      <c r="AC114" s="41"/>
      <c r="AD114" s="41"/>
      <c r="AE114" s="41"/>
      <c r="AF114" s="41"/>
      <c r="AG114" s="41"/>
      <c r="AH114" s="42"/>
      <c r="AI114" s="42"/>
      <c r="AJ114" s="42"/>
      <c r="AK114" s="42"/>
      <c r="AL114" s="42"/>
      <c r="AM114" s="42"/>
      <c r="AN114" s="37"/>
      <c r="AO114" s="26"/>
    </row>
    <row r="115" spans="1:41" ht="24.9" customHeight="1" x14ac:dyDescent="0.25">
      <c r="A115" s="222" t="str">
        <f t="shared" si="29"/>
        <v>Ok</v>
      </c>
      <c r="B115" s="36"/>
      <c r="C115" s="250">
        <v>45674</v>
      </c>
      <c r="D115" s="248" t="s">
        <v>1039</v>
      </c>
      <c r="E115" s="249"/>
      <c r="F115" s="249">
        <v>48</v>
      </c>
      <c r="G115" s="225">
        <f>G116-E115+F115</f>
        <v>4642.09</v>
      </c>
      <c r="H115" s="32"/>
      <c r="I115" s="13" t="s">
        <v>1040</v>
      </c>
      <c r="J115" s="47"/>
      <c r="K115" s="43"/>
      <c r="L115" s="38"/>
      <c r="M115" s="71"/>
      <c r="N115" s="39"/>
      <c r="O115" s="39"/>
      <c r="P115" s="39"/>
      <c r="Q115" s="72"/>
      <c r="R115" s="44"/>
      <c r="S115" s="44"/>
      <c r="T115" s="44"/>
      <c r="U115" s="44"/>
      <c r="V115" s="40"/>
      <c r="W115" s="40"/>
      <c r="X115" s="45"/>
      <c r="Y115" s="45">
        <v>48</v>
      </c>
      <c r="Z115" s="45"/>
      <c r="AA115" s="45"/>
      <c r="AB115" s="41"/>
      <c r="AC115" s="41"/>
      <c r="AD115" s="41"/>
      <c r="AE115" s="41"/>
      <c r="AF115" s="41"/>
      <c r="AG115" s="41"/>
      <c r="AH115" s="42"/>
      <c r="AI115" s="42"/>
      <c r="AJ115" s="42"/>
      <c r="AK115" s="42"/>
      <c r="AL115" s="42"/>
      <c r="AM115" s="42"/>
      <c r="AN115" s="37"/>
      <c r="AO115" s="26"/>
    </row>
    <row r="116" spans="1:41" ht="24.9" customHeight="1" x14ac:dyDescent="0.25">
      <c r="A116" s="222" t="str">
        <f t="shared" ref="A116:A147" si="35">IF(ABS(SUM(L116:AN116))&lt;&gt;SUM(E116:F116),"A Distribuer","Ok")</f>
        <v>Ok</v>
      </c>
      <c r="B116" s="36"/>
      <c r="C116" s="250">
        <v>45674</v>
      </c>
      <c r="D116" s="248" t="s">
        <v>1037</v>
      </c>
      <c r="E116" s="249"/>
      <c r="F116" s="249">
        <v>1965</v>
      </c>
      <c r="G116" s="225">
        <f t="shared" ref="G116:G117" si="36">G117-E116+F116</f>
        <v>4594.09</v>
      </c>
      <c r="H116" s="32"/>
      <c r="I116" s="13" t="s">
        <v>1038</v>
      </c>
      <c r="J116" s="47"/>
      <c r="K116" s="43"/>
      <c r="L116" s="38"/>
      <c r="M116" s="71"/>
      <c r="N116" s="39"/>
      <c r="O116" s="39"/>
      <c r="P116" s="39"/>
      <c r="Q116" s="72"/>
      <c r="R116" s="44"/>
      <c r="S116" s="44"/>
      <c r="T116" s="44"/>
      <c r="U116" s="44"/>
      <c r="V116" s="40"/>
      <c r="W116" s="40"/>
      <c r="X116" s="45"/>
      <c r="Y116" s="45">
        <v>1965</v>
      </c>
      <c r="Z116" s="45"/>
      <c r="AA116" s="45"/>
      <c r="AB116" s="41"/>
      <c r="AC116" s="41"/>
      <c r="AD116" s="41"/>
      <c r="AE116" s="41"/>
      <c r="AF116" s="41"/>
      <c r="AG116" s="41"/>
      <c r="AH116" s="42"/>
      <c r="AI116" s="42"/>
      <c r="AJ116" s="42"/>
      <c r="AK116" s="42"/>
      <c r="AL116" s="42"/>
      <c r="AM116" s="42"/>
      <c r="AN116" s="37"/>
      <c r="AO116" s="26"/>
    </row>
    <row r="117" spans="1:41" ht="24.9" customHeight="1" x14ac:dyDescent="0.25">
      <c r="A117" s="222" t="str">
        <f t="shared" si="35"/>
        <v>Ok</v>
      </c>
      <c r="B117" s="36"/>
      <c r="C117" s="158">
        <v>45673</v>
      </c>
      <c r="D117" s="73" t="s">
        <v>950</v>
      </c>
      <c r="E117" s="156">
        <v>85.07</v>
      </c>
      <c r="F117" s="156"/>
      <c r="G117" s="225">
        <f t="shared" si="36"/>
        <v>2629.0900000000006</v>
      </c>
      <c r="H117" s="32"/>
      <c r="I117" s="13" t="s">
        <v>951</v>
      </c>
      <c r="J117" s="47"/>
      <c r="K117" s="43"/>
      <c r="L117" s="38"/>
      <c r="M117" s="71"/>
      <c r="N117" s="39"/>
      <c r="O117" s="39"/>
      <c r="P117" s="39"/>
      <c r="Q117" s="72"/>
      <c r="R117" s="44"/>
      <c r="S117" s="44"/>
      <c r="T117" s="44"/>
      <c r="U117" s="44"/>
      <c r="V117" s="40"/>
      <c r="W117" s="40"/>
      <c r="X117" s="45">
        <v>85.07</v>
      </c>
      <c r="Y117" s="45"/>
      <c r="Z117" s="45"/>
      <c r="AA117" s="45"/>
      <c r="AB117" s="41"/>
      <c r="AC117" s="41"/>
      <c r="AD117" s="41"/>
      <c r="AE117" s="41"/>
      <c r="AF117" s="41"/>
      <c r="AG117" s="41"/>
      <c r="AH117" s="42"/>
      <c r="AI117" s="42"/>
      <c r="AJ117" s="42"/>
      <c r="AK117" s="42"/>
      <c r="AL117" s="42"/>
      <c r="AM117" s="42"/>
      <c r="AN117" s="37"/>
      <c r="AO117" s="26"/>
    </row>
    <row r="118" spans="1:41" ht="24.9" customHeight="1" x14ac:dyDescent="0.25">
      <c r="A118" s="222" t="str">
        <f t="shared" si="35"/>
        <v>Ok</v>
      </c>
      <c r="B118" s="36"/>
      <c r="C118" s="158">
        <v>45672</v>
      </c>
      <c r="D118" s="73" t="s">
        <v>898</v>
      </c>
      <c r="E118" s="156"/>
      <c r="F118" s="156">
        <v>36</v>
      </c>
      <c r="G118" s="225">
        <f t="shared" ref="G118:G123" si="37">G119-E118+F118</f>
        <v>2714.1600000000008</v>
      </c>
      <c r="H118" s="32"/>
      <c r="I118" s="13" t="s">
        <v>900</v>
      </c>
      <c r="J118" s="47"/>
      <c r="K118" s="43"/>
      <c r="L118" s="38"/>
      <c r="M118" s="71"/>
      <c r="N118" s="39"/>
      <c r="O118" s="39"/>
      <c r="P118" s="39"/>
      <c r="Q118" s="72"/>
      <c r="R118" s="44"/>
      <c r="S118" s="44"/>
      <c r="T118" s="44"/>
      <c r="U118" s="44"/>
      <c r="V118" s="40"/>
      <c r="W118" s="40"/>
      <c r="X118" s="45"/>
      <c r="Y118" s="45">
        <v>36</v>
      </c>
      <c r="Z118" s="45"/>
      <c r="AA118" s="45"/>
      <c r="AB118" s="41"/>
      <c r="AC118" s="41"/>
      <c r="AD118" s="41"/>
      <c r="AE118" s="41"/>
      <c r="AF118" s="41"/>
      <c r="AG118" s="41"/>
      <c r="AH118" s="42"/>
      <c r="AI118" s="42"/>
      <c r="AJ118" s="42"/>
      <c r="AK118" s="42"/>
      <c r="AL118" s="42"/>
      <c r="AM118" s="42"/>
      <c r="AN118" s="37"/>
      <c r="AO118" s="26"/>
    </row>
    <row r="119" spans="1:41" ht="24.9" customHeight="1" x14ac:dyDescent="0.25">
      <c r="A119" s="222" t="str">
        <f t="shared" si="35"/>
        <v>Ok</v>
      </c>
      <c r="B119" s="36"/>
      <c r="C119" s="158">
        <v>45672</v>
      </c>
      <c r="D119" s="73" t="s">
        <v>898</v>
      </c>
      <c r="E119" s="156"/>
      <c r="F119" s="156">
        <v>30</v>
      </c>
      <c r="G119" s="225">
        <f t="shared" si="37"/>
        <v>2678.1600000000008</v>
      </c>
      <c r="H119" s="32"/>
      <c r="I119" s="13" t="s">
        <v>899</v>
      </c>
      <c r="J119" s="47"/>
      <c r="K119" s="43"/>
      <c r="L119" s="38"/>
      <c r="M119" s="71"/>
      <c r="N119" s="39"/>
      <c r="O119" s="39"/>
      <c r="P119" s="39"/>
      <c r="Q119" s="72"/>
      <c r="R119" s="44"/>
      <c r="S119" s="44"/>
      <c r="T119" s="44"/>
      <c r="U119" s="44"/>
      <c r="V119" s="40"/>
      <c r="W119" s="40"/>
      <c r="X119" s="45"/>
      <c r="Y119" s="45"/>
      <c r="Z119" s="45"/>
      <c r="AA119" s="45"/>
      <c r="AB119" s="41"/>
      <c r="AC119" s="41"/>
      <c r="AD119" s="41"/>
      <c r="AE119" s="41"/>
      <c r="AF119" s="41"/>
      <c r="AG119" s="41">
        <v>30</v>
      </c>
      <c r="AH119" s="42"/>
      <c r="AI119" s="42"/>
      <c r="AJ119" s="42"/>
      <c r="AK119" s="42"/>
      <c r="AL119" s="42"/>
      <c r="AM119" s="42"/>
      <c r="AN119" s="37"/>
      <c r="AO119" s="26"/>
    </row>
    <row r="120" spans="1:41" ht="24.9" customHeight="1" x14ac:dyDescent="0.25">
      <c r="A120" s="222" t="str">
        <f t="shared" si="35"/>
        <v>Ok</v>
      </c>
      <c r="B120" s="36"/>
      <c r="C120" s="158">
        <v>45672</v>
      </c>
      <c r="D120" s="73" t="s">
        <v>946</v>
      </c>
      <c r="E120" s="156"/>
      <c r="F120" s="156">
        <v>260</v>
      </c>
      <c r="G120" s="225">
        <f t="shared" si="37"/>
        <v>2648.1600000000008</v>
      </c>
      <c r="H120" s="32"/>
      <c r="I120" s="13" t="s">
        <v>947</v>
      </c>
      <c r="J120" s="47"/>
      <c r="K120" s="43"/>
      <c r="L120" s="38"/>
      <c r="M120" s="71"/>
      <c r="N120" s="39"/>
      <c r="O120" s="39"/>
      <c r="P120" s="39"/>
      <c r="Q120" s="72"/>
      <c r="R120" s="44"/>
      <c r="S120" s="44"/>
      <c r="T120" s="44"/>
      <c r="U120" s="44"/>
      <c r="V120" s="40"/>
      <c r="W120" s="40"/>
      <c r="X120" s="45"/>
      <c r="Y120" s="45">
        <v>260</v>
      </c>
      <c r="Z120" s="45"/>
      <c r="AA120" s="45"/>
      <c r="AB120" s="41"/>
      <c r="AC120" s="41"/>
      <c r="AD120" s="41"/>
      <c r="AE120" s="41"/>
      <c r="AF120" s="41"/>
      <c r="AG120" s="41"/>
      <c r="AH120" s="42"/>
      <c r="AI120" s="42"/>
      <c r="AJ120" s="42"/>
      <c r="AK120" s="42"/>
      <c r="AL120" s="42"/>
      <c r="AM120" s="42"/>
      <c r="AN120" s="37"/>
      <c r="AO120" s="26"/>
    </row>
    <row r="121" spans="1:41" ht="48" customHeight="1" x14ac:dyDescent="0.25">
      <c r="A121" s="222" t="str">
        <f t="shared" si="35"/>
        <v>Ok</v>
      </c>
      <c r="B121" s="36"/>
      <c r="C121" s="250">
        <v>45672</v>
      </c>
      <c r="D121" s="248" t="s">
        <v>1017</v>
      </c>
      <c r="E121" s="249">
        <v>144</v>
      </c>
      <c r="F121" s="249"/>
      <c r="G121" s="225">
        <f t="shared" si="37"/>
        <v>2388.1600000000008</v>
      </c>
      <c r="H121" s="32"/>
      <c r="I121" s="13" t="s">
        <v>1018</v>
      </c>
      <c r="J121" s="47"/>
      <c r="K121" s="43"/>
      <c r="L121" s="38"/>
      <c r="M121" s="71"/>
      <c r="N121" s="39"/>
      <c r="O121" s="39"/>
      <c r="P121" s="39">
        <v>144</v>
      </c>
      <c r="Q121" s="72"/>
      <c r="R121" s="44"/>
      <c r="S121" s="44"/>
      <c r="T121" s="44"/>
      <c r="U121" s="44"/>
      <c r="V121" s="40"/>
      <c r="W121" s="40"/>
      <c r="X121" s="45"/>
      <c r="Y121" s="45"/>
      <c r="Z121" s="45"/>
      <c r="AA121" s="45"/>
      <c r="AB121" s="41"/>
      <c r="AC121" s="41"/>
      <c r="AD121" s="41"/>
      <c r="AE121" s="41"/>
      <c r="AF121" s="41"/>
      <c r="AG121" s="41"/>
      <c r="AH121" s="42"/>
      <c r="AI121" s="42"/>
      <c r="AJ121" s="42"/>
      <c r="AK121" s="42"/>
      <c r="AL121" s="42"/>
      <c r="AM121" s="42"/>
      <c r="AN121" s="37"/>
      <c r="AO121" s="26"/>
    </row>
    <row r="122" spans="1:41" ht="24.9" customHeight="1" x14ac:dyDescent="0.25">
      <c r="A122" s="222" t="str">
        <f t="shared" si="35"/>
        <v>Ok</v>
      </c>
      <c r="B122" s="36"/>
      <c r="C122" s="250">
        <v>45672</v>
      </c>
      <c r="D122" s="248" t="s">
        <v>1015</v>
      </c>
      <c r="E122" s="249"/>
      <c r="F122" s="249">
        <v>90.5</v>
      </c>
      <c r="G122" s="225">
        <f t="shared" si="37"/>
        <v>2532.1600000000008</v>
      </c>
      <c r="H122" s="32"/>
      <c r="I122" s="13" t="s">
        <v>1016</v>
      </c>
      <c r="J122" s="47"/>
      <c r="K122" s="43"/>
      <c r="L122" s="38"/>
      <c r="M122" s="71"/>
      <c r="N122" s="39"/>
      <c r="O122" s="39"/>
      <c r="P122" s="39"/>
      <c r="Q122" s="72"/>
      <c r="R122" s="44"/>
      <c r="S122" s="44"/>
      <c r="T122" s="44"/>
      <c r="U122" s="44"/>
      <c r="V122" s="40"/>
      <c r="W122" s="40"/>
      <c r="X122" s="45"/>
      <c r="Y122" s="45">
        <v>90.5</v>
      </c>
      <c r="Z122" s="45"/>
      <c r="AA122" s="45"/>
      <c r="AB122" s="41"/>
      <c r="AC122" s="41"/>
      <c r="AD122" s="41"/>
      <c r="AE122" s="41"/>
      <c r="AF122" s="41"/>
      <c r="AG122" s="41"/>
      <c r="AH122" s="42"/>
      <c r="AI122" s="42"/>
      <c r="AJ122" s="42"/>
      <c r="AK122" s="42"/>
      <c r="AL122" s="42"/>
      <c r="AM122" s="42"/>
      <c r="AN122" s="37"/>
      <c r="AO122" s="26"/>
    </row>
    <row r="123" spans="1:41" ht="24.9" customHeight="1" x14ac:dyDescent="0.25">
      <c r="A123" s="222" t="str">
        <f t="shared" si="35"/>
        <v>Ok</v>
      </c>
      <c r="B123" s="36"/>
      <c r="C123" s="250">
        <v>45670</v>
      </c>
      <c r="D123" s="248" t="s">
        <v>1013</v>
      </c>
      <c r="E123" s="249"/>
      <c r="F123" s="249">
        <v>30</v>
      </c>
      <c r="G123" s="225">
        <f t="shared" si="37"/>
        <v>2441.6600000000008</v>
      </c>
      <c r="H123" s="32"/>
      <c r="I123" s="13" t="s">
        <v>1014</v>
      </c>
      <c r="J123" s="47"/>
      <c r="K123" s="43"/>
      <c r="L123" s="38"/>
      <c r="M123" s="71"/>
      <c r="N123" s="39"/>
      <c r="O123" s="39"/>
      <c r="P123" s="39"/>
      <c r="Q123" s="72"/>
      <c r="R123" s="44"/>
      <c r="S123" s="44"/>
      <c r="T123" s="44"/>
      <c r="U123" s="44"/>
      <c r="V123" s="40"/>
      <c r="W123" s="40"/>
      <c r="X123" s="45"/>
      <c r="Y123" s="45"/>
      <c r="Z123" s="45"/>
      <c r="AA123" s="45"/>
      <c r="AB123" s="41"/>
      <c r="AC123" s="41"/>
      <c r="AD123" s="41"/>
      <c r="AE123" s="41"/>
      <c r="AF123" s="41"/>
      <c r="AG123" s="41">
        <v>30</v>
      </c>
      <c r="AH123" s="42"/>
      <c r="AI123" s="42"/>
      <c r="AJ123" s="42"/>
      <c r="AK123" s="42"/>
      <c r="AL123" s="42"/>
      <c r="AM123" s="42"/>
      <c r="AN123" s="37"/>
      <c r="AO123" s="26"/>
    </row>
    <row r="124" spans="1:41" ht="24.9" customHeight="1" x14ac:dyDescent="0.25">
      <c r="A124" s="222" t="str">
        <f t="shared" si="35"/>
        <v>Ok</v>
      </c>
      <c r="B124" s="36"/>
      <c r="C124" s="159">
        <v>45667</v>
      </c>
      <c r="D124" s="99" t="s">
        <v>919</v>
      </c>
      <c r="E124" s="167"/>
      <c r="F124" s="167">
        <v>50</v>
      </c>
      <c r="G124" s="225">
        <f t="shared" ref="G124:G131" si="38">G125-E124+F124</f>
        <v>2411.6600000000008</v>
      </c>
      <c r="H124" s="32"/>
      <c r="I124" s="13" t="s">
        <v>932</v>
      </c>
      <c r="J124" s="47"/>
      <c r="K124" s="43"/>
      <c r="L124" s="38"/>
      <c r="M124" s="71"/>
      <c r="N124" s="39"/>
      <c r="O124" s="39"/>
      <c r="P124" s="39"/>
      <c r="Q124" s="72"/>
      <c r="R124" s="44"/>
      <c r="S124" s="44"/>
      <c r="T124" s="44"/>
      <c r="U124" s="44"/>
      <c r="V124" s="40"/>
      <c r="W124" s="40"/>
      <c r="X124" s="45"/>
      <c r="Y124" s="45"/>
      <c r="Z124" s="45"/>
      <c r="AA124" s="45"/>
      <c r="AB124" s="41"/>
      <c r="AC124" s="41"/>
      <c r="AD124" s="41"/>
      <c r="AE124" s="41"/>
      <c r="AF124" s="41"/>
      <c r="AG124" s="41">
        <v>50</v>
      </c>
      <c r="AH124" s="42"/>
      <c r="AI124" s="42"/>
      <c r="AJ124" s="42"/>
      <c r="AK124" s="42"/>
      <c r="AL124" s="42"/>
      <c r="AM124" s="42"/>
      <c r="AN124" s="37"/>
      <c r="AO124" s="26"/>
    </row>
    <row r="125" spans="1:41" ht="24.9" customHeight="1" x14ac:dyDescent="0.25">
      <c r="A125" s="222" t="str">
        <f t="shared" si="35"/>
        <v>Ok</v>
      </c>
      <c r="B125" s="36"/>
      <c r="C125" s="159">
        <v>45667</v>
      </c>
      <c r="D125" s="99" t="s">
        <v>930</v>
      </c>
      <c r="E125" s="167"/>
      <c r="F125" s="167">
        <v>22</v>
      </c>
      <c r="G125" s="225">
        <f t="shared" si="38"/>
        <v>2361.6600000000008</v>
      </c>
      <c r="H125" s="32"/>
      <c r="I125" s="13" t="s">
        <v>931</v>
      </c>
      <c r="J125" s="47"/>
      <c r="K125" s="43"/>
      <c r="L125" s="38"/>
      <c r="M125" s="71"/>
      <c r="N125" s="39"/>
      <c r="O125" s="39"/>
      <c r="P125" s="39"/>
      <c r="Q125" s="72"/>
      <c r="R125" s="44"/>
      <c r="S125" s="44"/>
      <c r="T125" s="44">
        <v>22</v>
      </c>
      <c r="U125" s="44"/>
      <c r="V125" s="40"/>
      <c r="W125" s="40"/>
      <c r="X125" s="45"/>
      <c r="Y125" s="45"/>
      <c r="Z125" s="45"/>
      <c r="AA125" s="45"/>
      <c r="AB125" s="41"/>
      <c r="AC125" s="41"/>
      <c r="AD125" s="41"/>
      <c r="AE125" s="41"/>
      <c r="AF125" s="41"/>
      <c r="AG125" s="41"/>
      <c r="AH125" s="42"/>
      <c r="AI125" s="42"/>
      <c r="AJ125" s="42"/>
      <c r="AK125" s="42"/>
      <c r="AL125" s="42"/>
      <c r="AM125" s="42"/>
      <c r="AN125" s="37"/>
      <c r="AO125" s="26"/>
    </row>
    <row r="126" spans="1:41" ht="24.9" customHeight="1" x14ac:dyDescent="0.25">
      <c r="A126" s="222" t="str">
        <f t="shared" si="35"/>
        <v>Ok</v>
      </c>
      <c r="B126" s="36"/>
      <c r="C126" s="159">
        <v>45665</v>
      </c>
      <c r="D126" s="99" t="s">
        <v>929</v>
      </c>
      <c r="E126" s="167">
        <v>241.87</v>
      </c>
      <c r="F126" s="167"/>
      <c r="G126" s="225">
        <f t="shared" si="38"/>
        <v>2339.6600000000008</v>
      </c>
      <c r="H126" s="32"/>
      <c r="I126" s="13" t="s">
        <v>855</v>
      </c>
      <c r="J126" s="47"/>
      <c r="K126" s="43"/>
      <c r="L126" s="38"/>
      <c r="M126" s="71"/>
      <c r="N126" s="39">
        <v>176.27</v>
      </c>
      <c r="O126" s="39">
        <v>65.599999999999994</v>
      </c>
      <c r="P126" s="39"/>
      <c r="Q126" s="72"/>
      <c r="R126" s="44"/>
      <c r="S126" s="44"/>
      <c r="T126" s="44"/>
      <c r="U126" s="44"/>
      <c r="V126" s="40"/>
      <c r="W126" s="40"/>
      <c r="X126" s="45"/>
      <c r="Y126" s="45"/>
      <c r="Z126" s="45"/>
      <c r="AA126" s="45"/>
      <c r="AB126" s="41"/>
      <c r="AC126" s="41"/>
      <c r="AD126" s="41"/>
      <c r="AE126" s="41"/>
      <c r="AF126" s="41"/>
      <c r="AG126" s="41"/>
      <c r="AH126" s="42"/>
      <c r="AI126" s="42"/>
      <c r="AJ126" s="42"/>
      <c r="AK126" s="42"/>
      <c r="AL126" s="42"/>
      <c r="AM126" s="42"/>
      <c r="AN126" s="37"/>
      <c r="AO126" s="26"/>
    </row>
    <row r="127" spans="1:41" ht="24.9" customHeight="1" x14ac:dyDescent="0.25">
      <c r="A127" s="222" t="str">
        <f t="shared" si="35"/>
        <v>Ok</v>
      </c>
      <c r="B127" s="36"/>
      <c r="C127" s="159">
        <v>45664</v>
      </c>
      <c r="D127" s="99" t="s">
        <v>920</v>
      </c>
      <c r="E127" s="167"/>
      <c r="F127" s="167">
        <v>1000</v>
      </c>
      <c r="G127" s="225">
        <f t="shared" si="38"/>
        <v>2581.5300000000007</v>
      </c>
      <c r="H127" s="32"/>
      <c r="I127" s="13" t="s">
        <v>928</v>
      </c>
      <c r="J127" s="47"/>
      <c r="K127" s="43"/>
      <c r="L127" s="38"/>
      <c r="M127" s="71">
        <v>-1000</v>
      </c>
      <c r="N127" s="39"/>
      <c r="O127" s="39"/>
      <c r="P127" s="39"/>
      <c r="Q127" s="72"/>
      <c r="R127" s="44"/>
      <c r="S127" s="44"/>
      <c r="T127" s="44"/>
      <c r="U127" s="44"/>
      <c r="V127" s="40"/>
      <c r="W127" s="40"/>
      <c r="X127" s="45"/>
      <c r="Y127" s="45"/>
      <c r="Z127" s="45"/>
      <c r="AA127" s="45"/>
      <c r="AB127" s="41"/>
      <c r="AC127" s="41"/>
      <c r="AD127" s="41"/>
      <c r="AE127" s="41"/>
      <c r="AF127" s="41"/>
      <c r="AG127" s="41"/>
      <c r="AH127" s="42"/>
      <c r="AI127" s="42"/>
      <c r="AJ127" s="42"/>
      <c r="AK127" s="42"/>
      <c r="AL127" s="42"/>
      <c r="AM127" s="42"/>
      <c r="AN127" s="37"/>
      <c r="AO127" s="26"/>
    </row>
    <row r="128" spans="1:41" ht="24.9" customHeight="1" x14ac:dyDescent="0.25">
      <c r="A128" s="222" t="str">
        <f t="shared" si="35"/>
        <v>Ok</v>
      </c>
      <c r="B128" s="36"/>
      <c r="C128" s="159">
        <v>45664</v>
      </c>
      <c r="D128" s="99" t="s">
        <v>927</v>
      </c>
      <c r="E128" s="167">
        <v>35.82</v>
      </c>
      <c r="F128" s="167"/>
      <c r="G128" s="225">
        <f t="shared" si="38"/>
        <v>1581.5300000000004</v>
      </c>
      <c r="H128" s="32"/>
      <c r="I128" s="13" t="s">
        <v>97</v>
      </c>
      <c r="J128" s="47"/>
      <c r="K128" s="43"/>
      <c r="L128" s="38"/>
      <c r="M128" s="71"/>
      <c r="N128" s="39"/>
      <c r="O128" s="39"/>
      <c r="P128" s="39"/>
      <c r="Q128" s="72"/>
      <c r="R128" s="44"/>
      <c r="S128" s="44"/>
      <c r="T128" s="44"/>
      <c r="U128" s="44"/>
      <c r="V128" s="40"/>
      <c r="W128" s="40"/>
      <c r="X128" s="45"/>
      <c r="Y128" s="45"/>
      <c r="Z128" s="45"/>
      <c r="AA128" s="45"/>
      <c r="AB128" s="41"/>
      <c r="AC128" s="41"/>
      <c r="AD128" s="41"/>
      <c r="AE128" s="41"/>
      <c r="AF128" s="41"/>
      <c r="AG128" s="41"/>
      <c r="AH128" s="42"/>
      <c r="AI128" s="42">
        <v>35.82</v>
      </c>
      <c r="AJ128" s="42"/>
      <c r="AK128" s="42"/>
      <c r="AL128" s="42"/>
      <c r="AM128" s="42"/>
      <c r="AN128" s="37"/>
      <c r="AO128" s="26"/>
    </row>
    <row r="129" spans="1:41" ht="22.2" x14ac:dyDescent="0.25">
      <c r="A129" s="222" t="str">
        <f t="shared" si="35"/>
        <v>Ok</v>
      </c>
      <c r="B129" s="36"/>
      <c r="C129" s="159">
        <v>45664</v>
      </c>
      <c r="D129" s="99" t="s">
        <v>925</v>
      </c>
      <c r="E129" s="167"/>
      <c r="F129" s="167">
        <v>30</v>
      </c>
      <c r="G129" s="225">
        <f t="shared" si="38"/>
        <v>1617.3500000000004</v>
      </c>
      <c r="H129" s="32"/>
      <c r="I129" s="13" t="s">
        <v>926</v>
      </c>
      <c r="J129" s="47"/>
      <c r="K129" s="43"/>
      <c r="L129" s="38"/>
      <c r="M129" s="71"/>
      <c r="N129" s="39"/>
      <c r="O129" s="39"/>
      <c r="P129" s="39"/>
      <c r="Q129" s="72"/>
      <c r="R129" s="44"/>
      <c r="S129" s="44"/>
      <c r="T129" s="44"/>
      <c r="U129" s="44"/>
      <c r="V129" s="40"/>
      <c r="W129" s="40"/>
      <c r="X129" s="45"/>
      <c r="Y129" s="45"/>
      <c r="Z129" s="45"/>
      <c r="AA129" s="45"/>
      <c r="AB129" s="41"/>
      <c r="AC129" s="41"/>
      <c r="AD129" s="41"/>
      <c r="AE129" s="41"/>
      <c r="AF129" s="41"/>
      <c r="AG129" s="41">
        <v>30</v>
      </c>
      <c r="AH129" s="42"/>
      <c r="AI129" s="42"/>
      <c r="AJ129" s="42"/>
      <c r="AK129" s="42"/>
      <c r="AL129" s="42"/>
      <c r="AM129" s="42"/>
      <c r="AN129" s="37"/>
      <c r="AO129" s="26"/>
    </row>
    <row r="130" spans="1:41" ht="24.9" customHeight="1" x14ac:dyDescent="0.25">
      <c r="A130" s="222" t="str">
        <f t="shared" si="35"/>
        <v>Ok</v>
      </c>
      <c r="B130" s="36"/>
      <c r="C130" s="159">
        <v>45663</v>
      </c>
      <c r="D130" s="99" t="s">
        <v>921</v>
      </c>
      <c r="E130" s="167"/>
      <c r="F130" s="167">
        <v>30</v>
      </c>
      <c r="G130" s="225">
        <f t="shared" si="38"/>
        <v>1587.3500000000004</v>
      </c>
      <c r="H130" s="32"/>
      <c r="I130" s="13" t="s">
        <v>924</v>
      </c>
      <c r="J130" s="47"/>
      <c r="K130" s="43"/>
      <c r="L130" s="38"/>
      <c r="M130" s="71"/>
      <c r="N130" s="39"/>
      <c r="O130" s="39"/>
      <c r="P130" s="39"/>
      <c r="Q130" s="72"/>
      <c r="R130" s="44"/>
      <c r="S130" s="44"/>
      <c r="T130" s="44"/>
      <c r="U130" s="44"/>
      <c r="V130" s="40"/>
      <c r="W130" s="40"/>
      <c r="X130" s="45"/>
      <c r="Y130" s="45"/>
      <c r="Z130" s="45"/>
      <c r="AA130" s="45"/>
      <c r="AB130" s="41"/>
      <c r="AC130" s="41"/>
      <c r="AD130" s="41"/>
      <c r="AE130" s="41"/>
      <c r="AF130" s="41"/>
      <c r="AG130" s="41">
        <v>30</v>
      </c>
      <c r="AH130" s="42"/>
      <c r="AI130" s="42"/>
      <c r="AJ130" s="42"/>
      <c r="AK130" s="42"/>
      <c r="AL130" s="42"/>
      <c r="AM130" s="42"/>
      <c r="AN130" s="37"/>
      <c r="AO130" s="26"/>
    </row>
    <row r="131" spans="1:41" ht="24.9" customHeight="1" x14ac:dyDescent="0.25">
      <c r="A131" s="222" t="str">
        <f t="shared" si="35"/>
        <v>Ok</v>
      </c>
      <c r="B131" s="36"/>
      <c r="C131" s="159">
        <v>45663</v>
      </c>
      <c r="D131" s="99" t="s">
        <v>922</v>
      </c>
      <c r="E131" s="167"/>
      <c r="F131" s="167">
        <v>30</v>
      </c>
      <c r="G131" s="225">
        <f t="shared" si="38"/>
        <v>1557.3500000000004</v>
      </c>
      <c r="H131" s="32"/>
      <c r="I131" s="13" t="s">
        <v>923</v>
      </c>
      <c r="J131" s="47"/>
      <c r="K131" s="43"/>
      <c r="L131" s="38"/>
      <c r="M131" s="71"/>
      <c r="N131" s="39"/>
      <c r="O131" s="39"/>
      <c r="P131" s="39"/>
      <c r="Q131" s="72"/>
      <c r="R131" s="44"/>
      <c r="S131" s="44"/>
      <c r="T131" s="44"/>
      <c r="U131" s="44"/>
      <c r="V131" s="40"/>
      <c r="W131" s="40"/>
      <c r="X131" s="45"/>
      <c r="Y131" s="45"/>
      <c r="Z131" s="45"/>
      <c r="AA131" s="45"/>
      <c r="AB131" s="41"/>
      <c r="AC131" s="41"/>
      <c r="AD131" s="41"/>
      <c r="AE131" s="41"/>
      <c r="AF131" s="41"/>
      <c r="AG131" s="41">
        <v>30</v>
      </c>
      <c r="AH131" s="42"/>
      <c r="AI131" s="42"/>
      <c r="AJ131" s="42"/>
      <c r="AK131" s="42"/>
      <c r="AL131" s="42"/>
      <c r="AM131" s="42"/>
      <c r="AN131" s="37"/>
      <c r="AO131" s="26"/>
    </row>
    <row r="132" spans="1:41" ht="24.9" customHeight="1" x14ac:dyDescent="0.25">
      <c r="A132" s="222" t="str">
        <f t="shared" si="35"/>
        <v>Ok</v>
      </c>
      <c r="B132" s="36"/>
      <c r="C132" s="158">
        <v>46014</v>
      </c>
      <c r="D132" s="73" t="s">
        <v>890</v>
      </c>
      <c r="E132" s="156">
        <v>550</v>
      </c>
      <c r="F132" s="156"/>
      <c r="G132" s="225">
        <f t="shared" ref="G132:G134" si="39">G133-E132+F132</f>
        <v>1527.3500000000004</v>
      </c>
      <c r="H132" s="32"/>
      <c r="I132" s="13" t="s">
        <v>889</v>
      </c>
      <c r="J132" s="47"/>
      <c r="K132" s="43"/>
      <c r="L132" s="38"/>
      <c r="M132" s="71"/>
      <c r="N132" s="39"/>
      <c r="O132" s="39"/>
      <c r="P132" s="39"/>
      <c r="Q132" s="72"/>
      <c r="R132" s="44"/>
      <c r="S132" s="44"/>
      <c r="T132" s="44"/>
      <c r="U132" s="44"/>
      <c r="V132" s="40"/>
      <c r="W132" s="40"/>
      <c r="X132" s="45">
        <v>550</v>
      </c>
      <c r="Y132" s="45"/>
      <c r="Z132" s="45"/>
      <c r="AA132" s="45"/>
      <c r="AB132" s="41"/>
      <c r="AC132" s="41"/>
      <c r="AD132" s="41"/>
      <c r="AE132" s="41"/>
      <c r="AF132" s="41"/>
      <c r="AG132" s="41"/>
      <c r="AH132" s="42"/>
      <c r="AI132" s="42"/>
      <c r="AJ132" s="42"/>
      <c r="AK132" s="42"/>
      <c r="AL132" s="42"/>
      <c r="AM132" s="42"/>
      <c r="AN132" s="37"/>
      <c r="AO132" s="26"/>
    </row>
    <row r="133" spans="1:41" ht="24.9" customHeight="1" x14ac:dyDescent="0.25">
      <c r="A133" s="222" t="str">
        <f t="shared" si="35"/>
        <v>Ok</v>
      </c>
      <c r="B133" s="36"/>
      <c r="C133" s="158">
        <v>45646</v>
      </c>
      <c r="D133" s="73" t="s">
        <v>888</v>
      </c>
      <c r="E133" s="156">
        <v>665</v>
      </c>
      <c r="F133" s="156"/>
      <c r="G133" s="225">
        <f t="shared" si="39"/>
        <v>2077.3500000000004</v>
      </c>
      <c r="H133" s="32"/>
      <c r="I133" s="13" t="s">
        <v>887</v>
      </c>
      <c r="J133" s="47"/>
      <c r="K133" s="43"/>
      <c r="L133" s="38"/>
      <c r="M133" s="71"/>
      <c r="N133" s="39"/>
      <c r="O133" s="39"/>
      <c r="P133" s="39"/>
      <c r="Q133" s="72"/>
      <c r="R133" s="44"/>
      <c r="S133" s="44"/>
      <c r="T133" s="44"/>
      <c r="U133" s="44"/>
      <c r="V133" s="40"/>
      <c r="W133" s="40">
        <v>665</v>
      </c>
      <c r="X133" s="45"/>
      <c r="Y133" s="45"/>
      <c r="Z133" s="45"/>
      <c r="AA133" s="45"/>
      <c r="AB133" s="41"/>
      <c r="AC133" s="41"/>
      <c r="AD133" s="41"/>
      <c r="AE133" s="41"/>
      <c r="AF133" s="41"/>
      <c r="AG133" s="41"/>
      <c r="AH133" s="42"/>
      <c r="AI133" s="42"/>
      <c r="AJ133" s="42"/>
      <c r="AK133" s="42"/>
      <c r="AL133" s="42"/>
      <c r="AM133" s="42"/>
      <c r="AN133" s="37"/>
      <c r="AO133" s="26"/>
    </row>
    <row r="134" spans="1:41" ht="24.9" customHeight="1" x14ac:dyDescent="0.25">
      <c r="A134" s="222" t="str">
        <f t="shared" si="35"/>
        <v>Ok</v>
      </c>
      <c r="B134" s="36"/>
      <c r="C134" s="158">
        <v>45646</v>
      </c>
      <c r="D134" s="73" t="s">
        <v>892</v>
      </c>
      <c r="E134" s="156">
        <v>34</v>
      </c>
      <c r="F134" s="156"/>
      <c r="G134" s="225">
        <f t="shared" si="39"/>
        <v>2742.3500000000004</v>
      </c>
      <c r="H134" s="32"/>
      <c r="I134" s="13" t="s">
        <v>1137</v>
      </c>
      <c r="J134" s="47"/>
      <c r="K134" s="43"/>
      <c r="L134" s="38"/>
      <c r="M134" s="71"/>
      <c r="N134" s="39"/>
      <c r="O134" s="39"/>
      <c r="P134" s="39"/>
      <c r="Q134" s="72"/>
      <c r="R134" s="44"/>
      <c r="S134" s="44"/>
      <c r="T134" s="44"/>
      <c r="U134" s="44"/>
      <c r="V134" s="40"/>
      <c r="W134" s="40"/>
      <c r="X134" s="45"/>
      <c r="Y134" s="45"/>
      <c r="Z134" s="45"/>
      <c r="AA134" s="45"/>
      <c r="AB134" s="41"/>
      <c r="AC134" s="41"/>
      <c r="AD134" s="41"/>
      <c r="AE134" s="41"/>
      <c r="AF134" s="41"/>
      <c r="AG134" s="41"/>
      <c r="AH134" s="42"/>
      <c r="AI134" s="42"/>
      <c r="AJ134" s="42"/>
      <c r="AK134" s="42">
        <v>34</v>
      </c>
      <c r="AL134" s="42"/>
      <c r="AM134" s="42"/>
      <c r="AN134" s="37"/>
      <c r="AO134" s="26"/>
    </row>
    <row r="135" spans="1:41" ht="24.9" customHeight="1" x14ac:dyDescent="0.25">
      <c r="A135" s="222" t="str">
        <f t="shared" si="35"/>
        <v>Ok</v>
      </c>
      <c r="B135" s="36"/>
      <c r="C135" s="159">
        <v>45643</v>
      </c>
      <c r="D135" s="99" t="s">
        <v>883</v>
      </c>
      <c r="E135" s="167">
        <v>105.5</v>
      </c>
      <c r="F135" s="156"/>
      <c r="G135" s="225">
        <f t="shared" ref="G135:G139" si="40">G136-E135+F135</f>
        <v>2776.3500000000004</v>
      </c>
      <c r="H135" s="32"/>
      <c r="I135" s="13" t="s">
        <v>886</v>
      </c>
      <c r="J135" s="47"/>
      <c r="K135" s="43"/>
      <c r="L135" s="38"/>
      <c r="M135" s="71"/>
      <c r="N135" s="39"/>
      <c r="O135" s="39"/>
      <c r="P135" s="39"/>
      <c r="Q135" s="72"/>
      <c r="R135" s="44"/>
      <c r="S135" s="44"/>
      <c r="T135" s="44"/>
      <c r="U135" s="44"/>
      <c r="V135" s="40"/>
      <c r="W135" s="40"/>
      <c r="X135" s="45">
        <v>105.5</v>
      </c>
      <c r="Y135" s="45"/>
      <c r="Z135" s="45"/>
      <c r="AA135" s="45"/>
      <c r="AB135" s="41"/>
      <c r="AC135" s="41"/>
      <c r="AD135" s="41"/>
      <c r="AE135" s="41"/>
      <c r="AF135" s="41"/>
      <c r="AG135" s="41"/>
      <c r="AH135" s="42"/>
      <c r="AI135" s="42"/>
      <c r="AJ135" s="42"/>
      <c r="AK135" s="42"/>
      <c r="AL135" s="42"/>
      <c r="AM135" s="42"/>
      <c r="AN135" s="37"/>
      <c r="AO135" s="26"/>
    </row>
    <row r="136" spans="1:41" ht="24.9" customHeight="1" x14ac:dyDescent="0.25">
      <c r="A136" s="222" t="str">
        <f t="shared" si="35"/>
        <v>Ok</v>
      </c>
      <c r="B136" s="36"/>
      <c r="C136" s="159">
        <v>45643</v>
      </c>
      <c r="D136" s="99" t="s">
        <v>884</v>
      </c>
      <c r="E136" s="167">
        <v>36.1</v>
      </c>
      <c r="F136" s="156"/>
      <c r="G136" s="225">
        <f t="shared" si="40"/>
        <v>2881.8500000000004</v>
      </c>
      <c r="H136" s="32"/>
      <c r="I136" s="13" t="s">
        <v>885</v>
      </c>
      <c r="J136" s="47"/>
      <c r="K136" s="43"/>
      <c r="L136" s="38"/>
      <c r="M136" s="71"/>
      <c r="N136" s="39"/>
      <c r="O136" s="39"/>
      <c r="P136" s="39"/>
      <c r="Q136" s="72"/>
      <c r="R136" s="44"/>
      <c r="S136" s="44"/>
      <c r="T136" s="44"/>
      <c r="U136" s="44"/>
      <c r="V136" s="40"/>
      <c r="W136" s="40"/>
      <c r="X136" s="45"/>
      <c r="Y136" s="45"/>
      <c r="Z136" s="45"/>
      <c r="AA136" s="45"/>
      <c r="AB136" s="41"/>
      <c r="AC136" s="41"/>
      <c r="AD136" s="41">
        <v>36.1</v>
      </c>
      <c r="AE136" s="41"/>
      <c r="AF136" s="41"/>
      <c r="AG136" s="41"/>
      <c r="AH136" s="42"/>
      <c r="AI136" s="42"/>
      <c r="AJ136" s="42"/>
      <c r="AK136" s="42"/>
      <c r="AL136" s="42"/>
      <c r="AM136" s="42"/>
      <c r="AN136" s="37"/>
      <c r="AO136" s="26"/>
    </row>
    <row r="137" spans="1:41" ht="24.9" customHeight="1" x14ac:dyDescent="0.25">
      <c r="A137" s="222" t="str">
        <f t="shared" si="35"/>
        <v>Ok</v>
      </c>
      <c r="B137" s="36"/>
      <c r="C137" s="158">
        <v>45643</v>
      </c>
      <c r="D137" s="73" t="s">
        <v>874</v>
      </c>
      <c r="E137" s="156"/>
      <c r="F137" s="156">
        <v>32</v>
      </c>
      <c r="G137" s="225">
        <f t="shared" si="40"/>
        <v>2917.9500000000003</v>
      </c>
      <c r="H137" s="32"/>
      <c r="I137" s="13" t="s">
        <v>876</v>
      </c>
      <c r="J137" s="47"/>
      <c r="K137" s="43"/>
      <c r="L137" s="38"/>
      <c r="M137" s="71"/>
      <c r="N137" s="39"/>
      <c r="O137" s="39"/>
      <c r="P137" s="39"/>
      <c r="Q137" s="72"/>
      <c r="R137" s="44"/>
      <c r="S137" s="44"/>
      <c r="T137" s="44"/>
      <c r="U137" s="44"/>
      <c r="V137" s="40"/>
      <c r="W137" s="40"/>
      <c r="X137" s="45"/>
      <c r="Y137" s="45"/>
      <c r="Z137" s="45"/>
      <c r="AA137" s="45"/>
      <c r="AB137" s="41"/>
      <c r="AC137" s="41"/>
      <c r="AD137" s="41"/>
      <c r="AE137" s="41"/>
      <c r="AF137" s="41">
        <v>32</v>
      </c>
      <c r="AG137" s="41"/>
      <c r="AH137" s="42"/>
      <c r="AI137" s="42"/>
      <c r="AJ137" s="42"/>
      <c r="AK137" s="42"/>
      <c r="AL137" s="42"/>
      <c r="AM137" s="42"/>
      <c r="AN137" s="37"/>
      <c r="AO137" s="26"/>
    </row>
    <row r="138" spans="1:41" ht="24.9" customHeight="1" x14ac:dyDescent="0.25">
      <c r="A138" s="222" t="str">
        <f t="shared" si="35"/>
        <v>Ok</v>
      </c>
      <c r="B138" s="36"/>
      <c r="C138" s="158">
        <v>45643</v>
      </c>
      <c r="D138" s="73" t="s">
        <v>874</v>
      </c>
      <c r="E138" s="156"/>
      <c r="F138" s="156">
        <v>34</v>
      </c>
      <c r="G138" s="225">
        <f t="shared" si="40"/>
        <v>2885.9500000000003</v>
      </c>
      <c r="H138" s="32"/>
      <c r="I138" s="13" t="s">
        <v>875</v>
      </c>
      <c r="J138" s="47"/>
      <c r="K138" s="43"/>
      <c r="L138" s="38"/>
      <c r="M138" s="71"/>
      <c r="N138" s="39"/>
      <c r="O138" s="39"/>
      <c r="P138" s="39"/>
      <c r="Q138" s="72"/>
      <c r="R138" s="44"/>
      <c r="S138" s="44"/>
      <c r="T138" s="44"/>
      <c r="U138" s="44"/>
      <c r="V138" s="40"/>
      <c r="W138" s="40"/>
      <c r="X138" s="45"/>
      <c r="Y138" s="45"/>
      <c r="Z138" s="45"/>
      <c r="AA138" s="45"/>
      <c r="AB138" s="41"/>
      <c r="AC138" s="41"/>
      <c r="AD138" s="41"/>
      <c r="AE138" s="41"/>
      <c r="AF138" s="41">
        <v>34</v>
      </c>
      <c r="AG138" s="41"/>
      <c r="AH138" s="42"/>
      <c r="AI138" s="42"/>
      <c r="AJ138" s="42"/>
      <c r="AK138" s="42"/>
      <c r="AL138" s="42"/>
      <c r="AM138" s="42"/>
      <c r="AN138" s="37"/>
      <c r="AO138" s="26"/>
    </row>
    <row r="139" spans="1:41" ht="41.4" x14ac:dyDescent="0.25">
      <c r="A139" s="222" t="str">
        <f t="shared" si="35"/>
        <v>Ok</v>
      </c>
      <c r="B139" s="36"/>
      <c r="C139" s="159">
        <v>45642</v>
      </c>
      <c r="D139" s="99" t="s">
        <v>882</v>
      </c>
      <c r="E139" s="167">
        <v>141</v>
      </c>
      <c r="F139" s="156"/>
      <c r="G139" s="225">
        <f t="shared" si="40"/>
        <v>2851.9500000000003</v>
      </c>
      <c r="H139" s="32"/>
      <c r="I139" s="13" t="s">
        <v>15</v>
      </c>
      <c r="J139" s="47"/>
      <c r="K139" s="43"/>
      <c r="L139" s="38"/>
      <c r="M139" s="71"/>
      <c r="N139" s="39"/>
      <c r="O139" s="39"/>
      <c r="P139" s="39">
        <v>141</v>
      </c>
      <c r="Q139" s="72"/>
      <c r="R139" s="44"/>
      <c r="S139" s="44"/>
      <c r="T139" s="44"/>
      <c r="U139" s="44"/>
      <c r="V139" s="40"/>
      <c r="W139" s="40"/>
      <c r="X139" s="45"/>
      <c r="Y139" s="45"/>
      <c r="Z139" s="45"/>
      <c r="AA139" s="45"/>
      <c r="AB139" s="41"/>
      <c r="AC139" s="41"/>
      <c r="AD139" s="41"/>
      <c r="AE139" s="41"/>
      <c r="AF139" s="41"/>
      <c r="AG139" s="41"/>
      <c r="AH139" s="42"/>
      <c r="AI139" s="42"/>
      <c r="AJ139" s="42"/>
      <c r="AK139" s="42"/>
      <c r="AL139" s="42"/>
      <c r="AM139" s="42"/>
      <c r="AN139" s="37"/>
      <c r="AO139" s="26"/>
    </row>
    <row r="140" spans="1:41" ht="24.9" customHeight="1" x14ac:dyDescent="0.25">
      <c r="A140" s="222" t="str">
        <f t="shared" si="35"/>
        <v>Ok</v>
      </c>
      <c r="B140" s="36"/>
      <c r="C140" s="158">
        <v>45637</v>
      </c>
      <c r="D140" s="73" t="s">
        <v>879</v>
      </c>
      <c r="E140" s="156">
        <v>76</v>
      </c>
      <c r="F140" s="156"/>
      <c r="G140" s="225">
        <f t="shared" ref="G140:G147" si="41">G141-E140+F140</f>
        <v>2992.9500000000003</v>
      </c>
      <c r="H140" s="32"/>
      <c r="I140" s="13" t="s">
        <v>880</v>
      </c>
      <c r="J140" s="47"/>
      <c r="K140" s="43"/>
      <c r="L140" s="38"/>
      <c r="M140" s="71"/>
      <c r="N140" s="39"/>
      <c r="O140" s="39"/>
      <c r="P140" s="39"/>
      <c r="Q140" s="72"/>
      <c r="R140" s="44"/>
      <c r="S140" s="44"/>
      <c r="T140" s="44"/>
      <c r="U140" s="44"/>
      <c r="V140" s="40"/>
      <c r="W140" s="40"/>
      <c r="X140" s="45">
        <v>76</v>
      </c>
      <c r="Y140" s="45"/>
      <c r="Z140" s="45"/>
      <c r="AA140" s="45"/>
      <c r="AB140" s="41"/>
      <c r="AC140" s="41"/>
      <c r="AD140" s="41"/>
      <c r="AE140" s="41"/>
      <c r="AF140" s="41"/>
      <c r="AG140" s="41"/>
      <c r="AH140" s="42"/>
      <c r="AI140" s="42"/>
      <c r="AJ140" s="42"/>
      <c r="AK140" s="42"/>
      <c r="AL140" s="42"/>
      <c r="AM140" s="42"/>
      <c r="AN140" s="37"/>
      <c r="AO140" s="26"/>
    </row>
    <row r="141" spans="1:41" ht="24.9" customHeight="1" x14ac:dyDescent="0.25">
      <c r="A141" s="222" t="str">
        <f t="shared" si="35"/>
        <v>Ok</v>
      </c>
      <c r="B141" s="36"/>
      <c r="C141" s="158">
        <v>45637</v>
      </c>
      <c r="D141" s="73" t="s">
        <v>858</v>
      </c>
      <c r="E141" s="156">
        <v>118.38</v>
      </c>
      <c r="F141" s="156"/>
      <c r="G141" s="225">
        <f t="shared" si="41"/>
        <v>3068.9500000000003</v>
      </c>
      <c r="H141" s="32"/>
      <c r="I141" s="13" t="s">
        <v>859</v>
      </c>
      <c r="J141" s="47"/>
      <c r="K141" s="43"/>
      <c r="L141" s="38"/>
      <c r="M141" s="71"/>
      <c r="N141" s="39"/>
      <c r="O141" s="39"/>
      <c r="P141" s="39"/>
      <c r="Q141" s="72"/>
      <c r="R141" s="44"/>
      <c r="S141" s="44"/>
      <c r="T141" s="44"/>
      <c r="U141" s="44"/>
      <c r="V141" s="40"/>
      <c r="W141" s="40"/>
      <c r="X141" s="45"/>
      <c r="Y141" s="45"/>
      <c r="Z141" s="45"/>
      <c r="AA141" s="45"/>
      <c r="AB141" s="41"/>
      <c r="AC141" s="41"/>
      <c r="AD141" s="41"/>
      <c r="AE141" s="41"/>
      <c r="AF141" s="41"/>
      <c r="AG141" s="41"/>
      <c r="AH141" s="42"/>
      <c r="AI141" s="42"/>
      <c r="AJ141" s="42">
        <v>118.38</v>
      </c>
      <c r="AK141" s="42"/>
      <c r="AL141" s="42"/>
      <c r="AM141" s="42"/>
      <c r="AN141" s="37"/>
      <c r="AO141" s="26"/>
    </row>
    <row r="142" spans="1:41" ht="24.9" customHeight="1" x14ac:dyDescent="0.25">
      <c r="A142" s="222" t="str">
        <f t="shared" si="35"/>
        <v>Ok</v>
      </c>
      <c r="B142" s="36"/>
      <c r="C142" s="158">
        <v>45637</v>
      </c>
      <c r="D142" s="73" t="s">
        <v>862</v>
      </c>
      <c r="E142" s="156">
        <v>70</v>
      </c>
      <c r="F142" s="156"/>
      <c r="G142" s="225">
        <f t="shared" si="41"/>
        <v>3187.3300000000004</v>
      </c>
      <c r="H142" s="32"/>
      <c r="I142" s="13" t="s">
        <v>863</v>
      </c>
      <c r="J142" s="47"/>
      <c r="K142" s="43"/>
      <c r="L142" s="38"/>
      <c r="M142" s="71"/>
      <c r="N142" s="39"/>
      <c r="O142" s="39"/>
      <c r="P142" s="39"/>
      <c r="Q142" s="72"/>
      <c r="R142" s="44"/>
      <c r="S142" s="44"/>
      <c r="T142" s="44"/>
      <c r="U142" s="44"/>
      <c r="V142" s="40"/>
      <c r="W142" s="40"/>
      <c r="X142" s="45"/>
      <c r="Y142" s="45"/>
      <c r="Z142" s="45"/>
      <c r="AA142" s="45"/>
      <c r="AB142" s="41"/>
      <c r="AC142" s="41">
        <v>70</v>
      </c>
      <c r="AD142" s="41"/>
      <c r="AE142" s="41"/>
      <c r="AF142" s="41"/>
      <c r="AG142" s="41"/>
      <c r="AH142" s="42"/>
      <c r="AI142" s="42"/>
      <c r="AJ142" s="42"/>
      <c r="AK142" s="42"/>
      <c r="AL142" s="42"/>
      <c r="AM142" s="42"/>
      <c r="AN142" s="37"/>
      <c r="AO142" s="26"/>
    </row>
    <row r="143" spans="1:41" ht="24.9" customHeight="1" x14ac:dyDescent="0.25">
      <c r="A143" s="222" t="str">
        <f t="shared" si="35"/>
        <v>Ok</v>
      </c>
      <c r="B143" s="36"/>
      <c r="C143" s="158">
        <v>45637</v>
      </c>
      <c r="D143" s="73" t="s">
        <v>864</v>
      </c>
      <c r="E143" s="156">
        <v>44.8</v>
      </c>
      <c r="F143" s="156"/>
      <c r="G143" s="225">
        <f t="shared" si="41"/>
        <v>3257.3300000000004</v>
      </c>
      <c r="H143" s="32"/>
      <c r="I143" s="13" t="s">
        <v>865</v>
      </c>
      <c r="J143" s="47"/>
      <c r="K143" s="43"/>
      <c r="L143" s="38"/>
      <c r="M143" s="71"/>
      <c r="N143" s="39"/>
      <c r="O143" s="39"/>
      <c r="P143" s="39"/>
      <c r="Q143" s="72"/>
      <c r="R143" s="44"/>
      <c r="S143" s="44"/>
      <c r="T143" s="44"/>
      <c r="U143" s="44"/>
      <c r="V143" s="40"/>
      <c r="W143" s="40"/>
      <c r="X143" s="45"/>
      <c r="Y143" s="45"/>
      <c r="Z143" s="45"/>
      <c r="AA143" s="45"/>
      <c r="AB143" s="41"/>
      <c r="AC143" s="41"/>
      <c r="AD143" s="41"/>
      <c r="AE143" s="41"/>
      <c r="AF143" s="41"/>
      <c r="AG143" s="41"/>
      <c r="AH143" s="42"/>
      <c r="AI143" s="42"/>
      <c r="AJ143" s="42"/>
      <c r="AK143" s="42">
        <v>44.8</v>
      </c>
      <c r="AL143" s="42"/>
      <c r="AM143" s="42"/>
      <c r="AN143" s="37"/>
      <c r="AO143" s="26"/>
    </row>
    <row r="144" spans="1:41" ht="24.9" customHeight="1" x14ac:dyDescent="0.25">
      <c r="A144" s="222" t="str">
        <f t="shared" si="35"/>
        <v>Ok</v>
      </c>
      <c r="B144" s="36"/>
      <c r="C144" s="158">
        <v>45637</v>
      </c>
      <c r="D144" s="73" t="s">
        <v>872</v>
      </c>
      <c r="E144" s="156">
        <v>41.8</v>
      </c>
      <c r="F144" s="156"/>
      <c r="G144" s="225">
        <f t="shared" si="41"/>
        <v>3302.1300000000006</v>
      </c>
      <c r="H144" s="32"/>
      <c r="I144" s="13" t="s">
        <v>873</v>
      </c>
      <c r="J144" s="47"/>
      <c r="K144" s="43"/>
      <c r="L144" s="38"/>
      <c r="M144" s="71"/>
      <c r="N144" s="39"/>
      <c r="O144" s="39"/>
      <c r="P144" s="39"/>
      <c r="Q144" s="72"/>
      <c r="R144" s="44"/>
      <c r="S144" s="44"/>
      <c r="T144" s="44"/>
      <c r="U144" s="44"/>
      <c r="V144" s="40"/>
      <c r="W144" s="40"/>
      <c r="X144" s="45">
        <v>41.8</v>
      </c>
      <c r="Y144" s="45"/>
      <c r="Z144" s="45"/>
      <c r="AA144" s="45"/>
      <c r="AB144" s="41"/>
      <c r="AC144" s="41"/>
      <c r="AD144" s="41"/>
      <c r="AE144" s="41"/>
      <c r="AF144" s="41"/>
      <c r="AG144" s="41"/>
      <c r="AH144" s="42"/>
      <c r="AI144" s="42"/>
      <c r="AJ144" s="42"/>
      <c r="AK144" s="42"/>
      <c r="AL144" s="42"/>
      <c r="AM144" s="42"/>
      <c r="AN144" s="37"/>
      <c r="AO144" s="26"/>
    </row>
    <row r="145" spans="1:41" ht="24.9" customHeight="1" x14ac:dyDescent="0.25">
      <c r="A145" s="222" t="str">
        <f t="shared" si="35"/>
        <v>Ok</v>
      </c>
      <c r="B145" s="36"/>
      <c r="C145" s="158">
        <v>45637</v>
      </c>
      <c r="D145" s="73" t="s">
        <v>860</v>
      </c>
      <c r="E145" s="156">
        <v>29.8</v>
      </c>
      <c r="F145" s="156"/>
      <c r="G145" s="225">
        <f t="shared" si="41"/>
        <v>3343.9300000000007</v>
      </c>
      <c r="H145" s="32"/>
      <c r="I145" s="13" t="s">
        <v>861</v>
      </c>
      <c r="J145" s="47"/>
      <c r="K145" s="43"/>
      <c r="L145" s="38"/>
      <c r="M145" s="71"/>
      <c r="N145" s="39"/>
      <c r="O145" s="39"/>
      <c r="P145" s="39"/>
      <c r="Q145" s="72"/>
      <c r="R145" s="44"/>
      <c r="S145" s="44"/>
      <c r="T145" s="44"/>
      <c r="U145" s="44"/>
      <c r="V145" s="40"/>
      <c r="W145" s="40"/>
      <c r="X145" s="45">
        <v>29.8</v>
      </c>
      <c r="Y145" s="45"/>
      <c r="Z145" s="45"/>
      <c r="AA145" s="45"/>
      <c r="AB145" s="41"/>
      <c r="AC145" s="41"/>
      <c r="AD145" s="41"/>
      <c r="AE145" s="41"/>
      <c r="AF145" s="41"/>
      <c r="AG145" s="41"/>
      <c r="AH145" s="42"/>
      <c r="AI145" s="42"/>
      <c r="AJ145" s="42"/>
      <c r="AK145" s="42"/>
      <c r="AL145" s="42"/>
      <c r="AM145" s="42"/>
      <c r="AN145" s="37"/>
      <c r="AO145" s="26"/>
    </row>
    <row r="146" spans="1:41" ht="24.9" customHeight="1" x14ac:dyDescent="0.25">
      <c r="A146" s="222" t="str">
        <f t="shared" si="35"/>
        <v>Ok</v>
      </c>
      <c r="B146" s="36"/>
      <c r="C146" s="158" t="s">
        <v>877</v>
      </c>
      <c r="D146" s="73" t="s">
        <v>868</v>
      </c>
      <c r="E146" s="156"/>
      <c r="F146" s="156">
        <v>25</v>
      </c>
      <c r="G146" s="225">
        <f t="shared" si="41"/>
        <v>3373.7300000000009</v>
      </c>
      <c r="H146" s="32"/>
      <c r="I146" s="13" t="s">
        <v>869</v>
      </c>
      <c r="J146" s="47"/>
      <c r="K146" s="43"/>
      <c r="L146" s="38"/>
      <c r="M146" s="71"/>
      <c r="N146" s="39"/>
      <c r="O146" s="39"/>
      <c r="P146" s="39"/>
      <c r="Q146" s="72"/>
      <c r="R146" s="44"/>
      <c r="S146" s="44"/>
      <c r="T146" s="44"/>
      <c r="U146" s="44"/>
      <c r="V146" s="40">
        <v>25</v>
      </c>
      <c r="W146" s="40"/>
      <c r="X146" s="45"/>
      <c r="Y146" s="45"/>
      <c r="Z146" s="45"/>
      <c r="AA146" s="45"/>
      <c r="AB146" s="41"/>
      <c r="AC146" s="41"/>
      <c r="AD146" s="41"/>
      <c r="AE146" s="41"/>
      <c r="AF146" s="41"/>
      <c r="AG146" s="41"/>
      <c r="AH146" s="42"/>
      <c r="AI146" s="42"/>
      <c r="AJ146" s="42"/>
      <c r="AK146" s="42"/>
      <c r="AL146" s="42"/>
      <c r="AM146" s="42"/>
      <c r="AN146" s="37"/>
      <c r="AO146" s="26"/>
    </row>
    <row r="147" spans="1:41" ht="24.9" customHeight="1" x14ac:dyDescent="0.25">
      <c r="A147" s="222" t="str">
        <f t="shared" si="35"/>
        <v>Ok</v>
      </c>
      <c r="B147" s="36"/>
      <c r="C147" s="158">
        <v>45637</v>
      </c>
      <c r="D147" s="73" t="s">
        <v>868</v>
      </c>
      <c r="E147" s="156"/>
      <c r="F147" s="156">
        <v>71</v>
      </c>
      <c r="G147" s="225">
        <f t="shared" si="41"/>
        <v>3348.7300000000009</v>
      </c>
      <c r="H147" s="32"/>
      <c r="I147" s="13" t="s">
        <v>870</v>
      </c>
      <c r="J147" s="47"/>
      <c r="K147" s="43"/>
      <c r="L147" s="38"/>
      <c r="M147" s="71"/>
      <c r="N147" s="39"/>
      <c r="O147" s="39"/>
      <c r="P147" s="39"/>
      <c r="Q147" s="72"/>
      <c r="R147" s="44"/>
      <c r="S147" s="44"/>
      <c r="T147" s="44">
        <v>71</v>
      </c>
      <c r="U147" s="44"/>
      <c r="V147" s="40"/>
      <c r="W147" s="40"/>
      <c r="X147" s="45"/>
      <c r="Y147" s="45"/>
      <c r="Z147" s="45"/>
      <c r="AA147" s="45"/>
      <c r="AB147" s="41"/>
      <c r="AC147" s="41"/>
      <c r="AD147" s="41"/>
      <c r="AE147" s="41"/>
      <c r="AF147" s="41"/>
      <c r="AG147" s="41"/>
      <c r="AH147" s="42"/>
      <c r="AI147" s="42"/>
      <c r="AJ147" s="42"/>
      <c r="AK147" s="42"/>
      <c r="AL147" s="42"/>
      <c r="AM147" s="42"/>
      <c r="AN147" s="37"/>
      <c r="AO147" s="26"/>
    </row>
    <row r="148" spans="1:41" ht="24.9" customHeight="1" x14ac:dyDescent="0.25">
      <c r="A148" s="222" t="str">
        <f t="shared" ref="A148:A179" si="42">IF(ABS(SUM(L148:AN148))&lt;&gt;SUM(E148:F148),"A Distribuer","Ok")</f>
        <v>Ok</v>
      </c>
      <c r="B148" s="36"/>
      <c r="C148" s="158">
        <v>45637</v>
      </c>
      <c r="D148" s="73" t="s">
        <v>837</v>
      </c>
      <c r="E148" s="156"/>
      <c r="F148" s="156">
        <v>30</v>
      </c>
      <c r="G148" s="225">
        <f t="shared" ref="G148:G151" si="43">G149-E148+F148</f>
        <v>3277.7300000000009</v>
      </c>
      <c r="H148" s="32"/>
      <c r="I148" s="13" t="s">
        <v>871</v>
      </c>
      <c r="J148" s="47"/>
      <c r="K148" s="43"/>
      <c r="L148" s="38"/>
      <c r="M148" s="71"/>
      <c r="N148" s="39"/>
      <c r="O148" s="39"/>
      <c r="P148" s="39"/>
      <c r="Q148" s="72"/>
      <c r="R148" s="44"/>
      <c r="S148" s="44"/>
      <c r="T148" s="44"/>
      <c r="U148" s="44"/>
      <c r="V148" s="40"/>
      <c r="W148" s="40"/>
      <c r="X148" s="45"/>
      <c r="Y148" s="45"/>
      <c r="Z148" s="45"/>
      <c r="AA148" s="45"/>
      <c r="AB148" s="41"/>
      <c r="AC148" s="41"/>
      <c r="AD148" s="41"/>
      <c r="AE148" s="41"/>
      <c r="AF148" s="41">
        <v>30</v>
      </c>
      <c r="AG148" s="41"/>
      <c r="AH148" s="42"/>
      <c r="AI148" s="42"/>
      <c r="AJ148" s="42"/>
      <c r="AK148" s="42"/>
      <c r="AL148" s="42"/>
      <c r="AM148" s="42"/>
      <c r="AN148" s="37"/>
      <c r="AO148" s="26"/>
    </row>
    <row r="149" spans="1:41" ht="24.9" customHeight="1" x14ac:dyDescent="0.25">
      <c r="A149" s="222" t="str">
        <f t="shared" si="42"/>
        <v>Ok</v>
      </c>
      <c r="B149" s="36"/>
      <c r="C149" s="158">
        <v>45635</v>
      </c>
      <c r="D149" s="218" t="s">
        <v>867</v>
      </c>
      <c r="E149" s="156"/>
      <c r="F149" s="156">
        <v>22</v>
      </c>
      <c r="G149" s="225">
        <f t="shared" si="43"/>
        <v>3247.7300000000009</v>
      </c>
      <c r="H149" s="32"/>
      <c r="I149" s="13" t="s">
        <v>878</v>
      </c>
      <c r="J149" s="47"/>
      <c r="K149" s="43"/>
      <c r="L149" s="38"/>
      <c r="M149" s="71"/>
      <c r="N149" s="39"/>
      <c r="O149" s="39"/>
      <c r="P149" s="39"/>
      <c r="Q149" s="72"/>
      <c r="R149" s="44"/>
      <c r="S149" s="44"/>
      <c r="T149" s="44">
        <v>22</v>
      </c>
      <c r="U149" s="44"/>
      <c r="V149" s="40"/>
      <c r="W149" s="40"/>
      <c r="X149" s="45"/>
      <c r="Y149" s="45"/>
      <c r="Z149" s="45"/>
      <c r="AA149" s="45"/>
      <c r="AB149" s="41"/>
      <c r="AC149" s="41"/>
      <c r="AD149" s="41"/>
      <c r="AE149" s="41"/>
      <c r="AF149" s="41"/>
      <c r="AG149" s="41"/>
      <c r="AH149" s="42"/>
      <c r="AI149" s="42"/>
      <c r="AJ149" s="42"/>
      <c r="AK149" s="42"/>
      <c r="AL149" s="42"/>
      <c r="AM149" s="42"/>
      <c r="AN149" s="37"/>
      <c r="AO149" s="26"/>
    </row>
    <row r="150" spans="1:41" ht="24.9" customHeight="1" x14ac:dyDescent="0.25">
      <c r="A150" s="222" t="str">
        <f t="shared" si="42"/>
        <v>Ok</v>
      </c>
      <c r="B150" s="36"/>
      <c r="C150" s="158">
        <v>45632</v>
      </c>
      <c r="D150" s="73" t="s">
        <v>853</v>
      </c>
      <c r="E150" s="156">
        <v>99</v>
      </c>
      <c r="F150" s="156"/>
      <c r="G150" s="225">
        <f t="shared" si="43"/>
        <v>3225.7300000000009</v>
      </c>
      <c r="H150" s="32"/>
      <c r="I150" s="13" t="s">
        <v>852</v>
      </c>
      <c r="J150" s="47"/>
      <c r="K150" s="43"/>
      <c r="L150" s="38"/>
      <c r="M150" s="71"/>
      <c r="N150" s="39"/>
      <c r="O150" s="39"/>
      <c r="P150" s="39"/>
      <c r="Q150" s="72"/>
      <c r="R150" s="44"/>
      <c r="S150" s="44"/>
      <c r="T150" s="44"/>
      <c r="U150" s="44"/>
      <c r="V150" s="40"/>
      <c r="W150" s="40"/>
      <c r="X150" s="45"/>
      <c r="Y150" s="45"/>
      <c r="Z150" s="45"/>
      <c r="AA150" s="45"/>
      <c r="AB150" s="41"/>
      <c r="AC150" s="41"/>
      <c r="AD150" s="41"/>
      <c r="AE150" s="41"/>
      <c r="AF150" s="41"/>
      <c r="AG150" s="41"/>
      <c r="AH150" s="42"/>
      <c r="AI150" s="42"/>
      <c r="AJ150" s="42">
        <v>99</v>
      </c>
      <c r="AK150" s="42"/>
      <c r="AL150" s="42"/>
      <c r="AM150" s="42"/>
      <c r="AN150" s="37"/>
      <c r="AO150" s="26"/>
    </row>
    <row r="151" spans="1:41" ht="24.9" customHeight="1" x14ac:dyDescent="0.25">
      <c r="A151" s="222" t="str">
        <f t="shared" si="42"/>
        <v>Ok</v>
      </c>
      <c r="B151" s="36"/>
      <c r="C151" s="158">
        <v>45632</v>
      </c>
      <c r="D151" s="73" t="s">
        <v>851</v>
      </c>
      <c r="E151" s="156">
        <v>49.9</v>
      </c>
      <c r="F151" s="156"/>
      <c r="G151" s="225">
        <f t="shared" si="43"/>
        <v>3324.7300000000009</v>
      </c>
      <c r="H151" s="32"/>
      <c r="I151" s="13" t="s">
        <v>854</v>
      </c>
      <c r="J151" s="47"/>
      <c r="K151" s="43"/>
      <c r="L151" s="38"/>
      <c r="M151" s="71"/>
      <c r="N151" s="39"/>
      <c r="O151" s="39"/>
      <c r="P151" s="39"/>
      <c r="Q151" s="72"/>
      <c r="R151" s="44"/>
      <c r="S151" s="44"/>
      <c r="T151" s="44"/>
      <c r="U151" s="44"/>
      <c r="V151" s="40"/>
      <c r="W151" s="40"/>
      <c r="X151" s="45"/>
      <c r="Y151" s="45"/>
      <c r="Z151" s="45"/>
      <c r="AA151" s="45"/>
      <c r="AB151" s="41"/>
      <c r="AC151" s="41"/>
      <c r="AD151" s="41"/>
      <c r="AE151" s="41"/>
      <c r="AF151" s="41"/>
      <c r="AG151" s="41"/>
      <c r="AH151" s="42"/>
      <c r="AI151" s="42"/>
      <c r="AJ151" s="42"/>
      <c r="AK151" s="42">
        <v>14.9</v>
      </c>
      <c r="AL151" s="42">
        <v>35</v>
      </c>
      <c r="AM151" s="42"/>
      <c r="AN151" s="37"/>
      <c r="AO151" s="26"/>
    </row>
    <row r="152" spans="1:41" ht="24.9" customHeight="1" x14ac:dyDescent="0.25">
      <c r="A152" s="46" t="str">
        <f t="shared" si="42"/>
        <v>Ok</v>
      </c>
      <c r="B152" s="36"/>
      <c r="C152" s="158">
        <v>45627</v>
      </c>
      <c r="D152" s="73" t="s">
        <v>856</v>
      </c>
      <c r="E152" s="156">
        <v>4000</v>
      </c>
      <c r="F152" s="156"/>
      <c r="G152" s="225">
        <f t="shared" ref="G152:G160" si="44">G153-E152+F152</f>
        <v>3374.630000000001</v>
      </c>
      <c r="H152" s="32"/>
      <c r="I152" s="13"/>
      <c r="J152" s="47"/>
      <c r="K152" s="43"/>
      <c r="L152" s="38"/>
      <c r="M152" s="71">
        <v>4000</v>
      </c>
      <c r="N152" s="39"/>
      <c r="O152" s="39"/>
      <c r="P152" s="39"/>
      <c r="Q152" s="72"/>
      <c r="R152" s="44"/>
      <c r="S152" s="44"/>
      <c r="T152" s="44"/>
      <c r="U152" s="44"/>
      <c r="V152" s="40"/>
      <c r="W152" s="40"/>
      <c r="X152" s="45"/>
      <c r="Y152" s="45"/>
      <c r="Z152" s="45"/>
      <c r="AA152" s="45"/>
      <c r="AB152" s="41"/>
      <c r="AC152" s="41"/>
      <c r="AD152" s="41"/>
      <c r="AE152" s="41"/>
      <c r="AF152" s="41"/>
      <c r="AG152" s="41"/>
      <c r="AH152" s="42"/>
      <c r="AI152" s="42"/>
      <c r="AJ152" s="42"/>
      <c r="AK152" s="42"/>
      <c r="AL152" s="42"/>
      <c r="AM152" s="42"/>
      <c r="AN152" s="37"/>
      <c r="AO152" s="26"/>
    </row>
    <row r="153" spans="1:41" ht="24.9" customHeight="1" x14ac:dyDescent="0.25">
      <c r="A153" s="46" t="str">
        <f t="shared" si="42"/>
        <v>Ok</v>
      </c>
      <c r="B153" s="36"/>
      <c r="C153" s="158">
        <v>45624</v>
      </c>
      <c r="D153" s="73" t="s">
        <v>847</v>
      </c>
      <c r="E153" s="156">
        <v>175.78</v>
      </c>
      <c r="F153" s="156"/>
      <c r="G153" s="225">
        <f t="shared" si="44"/>
        <v>7374.630000000001</v>
      </c>
      <c r="H153" s="32"/>
      <c r="I153" s="13" t="s">
        <v>848</v>
      </c>
      <c r="J153" s="47"/>
      <c r="K153" s="43"/>
      <c r="L153" s="38"/>
      <c r="M153" s="71"/>
      <c r="N153" s="39"/>
      <c r="O153" s="39"/>
      <c r="P153" s="39"/>
      <c r="Q153" s="72"/>
      <c r="R153" s="44"/>
      <c r="S153" s="44"/>
      <c r="T153" s="44"/>
      <c r="U153" s="44"/>
      <c r="V153" s="40"/>
      <c r="W153" s="40"/>
      <c r="X153" s="45">
        <v>175.78</v>
      </c>
      <c r="Y153" s="45"/>
      <c r="Z153" s="45"/>
      <c r="AA153" s="45"/>
      <c r="AB153" s="41"/>
      <c r="AC153" s="41"/>
      <c r="AD153" s="41"/>
      <c r="AE153" s="41"/>
      <c r="AF153" s="41"/>
      <c r="AG153" s="41"/>
      <c r="AH153" s="42"/>
      <c r="AI153" s="42"/>
      <c r="AJ153" s="42"/>
      <c r="AK153" s="42"/>
      <c r="AL153" s="42"/>
      <c r="AM153" s="42"/>
      <c r="AN153" s="37"/>
      <c r="AO153" s="26"/>
    </row>
    <row r="154" spans="1:41" ht="24.9" customHeight="1" x14ac:dyDescent="0.25">
      <c r="A154" s="46" t="str">
        <f t="shared" si="42"/>
        <v>Ok</v>
      </c>
      <c r="B154" s="36"/>
      <c r="C154" s="158">
        <v>45622</v>
      </c>
      <c r="D154" s="73" t="s">
        <v>846</v>
      </c>
      <c r="E154" s="156"/>
      <c r="F154" s="156">
        <v>50</v>
      </c>
      <c r="G154" s="225">
        <f t="shared" si="44"/>
        <v>7550.4100000000008</v>
      </c>
      <c r="H154" s="32"/>
      <c r="I154" s="13" t="s">
        <v>816</v>
      </c>
      <c r="J154" s="47"/>
      <c r="K154" s="43"/>
      <c r="L154" s="38"/>
      <c r="M154" s="71"/>
      <c r="N154" s="39"/>
      <c r="O154" s="39"/>
      <c r="P154" s="39"/>
      <c r="Q154" s="72"/>
      <c r="R154" s="44"/>
      <c r="S154" s="44"/>
      <c r="T154" s="44"/>
      <c r="U154" s="44">
        <v>50</v>
      </c>
      <c r="V154" s="40"/>
      <c r="W154" s="40"/>
      <c r="X154" s="45"/>
      <c r="Y154" s="45"/>
      <c r="Z154" s="45"/>
      <c r="AA154" s="45"/>
      <c r="AB154" s="41"/>
      <c r="AC154" s="41"/>
      <c r="AD154" s="41"/>
      <c r="AE154" s="41"/>
      <c r="AF154" s="41"/>
      <c r="AG154" s="41"/>
      <c r="AH154" s="42"/>
      <c r="AI154" s="42"/>
      <c r="AJ154" s="42"/>
      <c r="AK154" s="42"/>
      <c r="AL154" s="42"/>
      <c r="AM154" s="42"/>
      <c r="AN154" s="37"/>
      <c r="AO154" s="26"/>
    </row>
    <row r="155" spans="1:41" ht="24.9" customHeight="1" x14ac:dyDescent="0.25">
      <c r="A155" s="222" t="str">
        <f t="shared" si="42"/>
        <v>Ok</v>
      </c>
      <c r="B155" s="36"/>
      <c r="C155" s="158">
        <v>45616</v>
      </c>
      <c r="D155" s="73" t="s">
        <v>834</v>
      </c>
      <c r="E155" s="156"/>
      <c r="F155" s="156">
        <v>32</v>
      </c>
      <c r="G155" s="225">
        <f t="shared" si="44"/>
        <v>7500.4100000000008</v>
      </c>
      <c r="H155" s="32"/>
      <c r="I155" s="13" t="s">
        <v>830</v>
      </c>
      <c r="J155" s="47"/>
      <c r="K155" s="43"/>
      <c r="L155" s="38"/>
      <c r="M155" s="71"/>
      <c r="N155" s="39"/>
      <c r="O155" s="39"/>
      <c r="P155" s="39"/>
      <c r="Q155" s="72"/>
      <c r="R155" s="44"/>
      <c r="S155" s="44"/>
      <c r="T155" s="44"/>
      <c r="U155" s="44"/>
      <c r="V155" s="40"/>
      <c r="W155" s="40"/>
      <c r="X155" s="45"/>
      <c r="Y155" s="45"/>
      <c r="Z155" s="45"/>
      <c r="AA155" s="45"/>
      <c r="AB155" s="41"/>
      <c r="AC155" s="41"/>
      <c r="AD155" s="41"/>
      <c r="AE155" s="41"/>
      <c r="AF155" s="41">
        <v>32</v>
      </c>
      <c r="AG155" s="41"/>
      <c r="AH155" s="42"/>
      <c r="AI155" s="42"/>
      <c r="AJ155" s="42"/>
      <c r="AK155" s="42"/>
      <c r="AL155" s="42"/>
      <c r="AM155" s="42"/>
      <c r="AN155" s="37"/>
      <c r="AO155" s="26"/>
    </row>
    <row r="156" spans="1:41" ht="24.9" customHeight="1" x14ac:dyDescent="0.25">
      <c r="A156" s="222" t="str">
        <f t="shared" si="42"/>
        <v>Ok</v>
      </c>
      <c r="B156" s="36"/>
      <c r="C156" s="158">
        <v>45616</v>
      </c>
      <c r="D156" s="73" t="s">
        <v>834</v>
      </c>
      <c r="E156" s="156"/>
      <c r="F156" s="156">
        <v>32</v>
      </c>
      <c r="G156" s="225">
        <f t="shared" si="44"/>
        <v>7468.4100000000008</v>
      </c>
      <c r="H156" s="32"/>
      <c r="I156" s="13" t="s">
        <v>831</v>
      </c>
      <c r="J156" s="47"/>
      <c r="K156" s="43"/>
      <c r="L156" s="38"/>
      <c r="M156" s="71"/>
      <c r="N156" s="39"/>
      <c r="O156" s="39"/>
      <c r="P156" s="39"/>
      <c r="Q156" s="72"/>
      <c r="R156" s="44"/>
      <c r="S156" s="44"/>
      <c r="T156" s="44"/>
      <c r="U156" s="44"/>
      <c r="V156" s="40"/>
      <c r="W156" s="40"/>
      <c r="X156" s="45"/>
      <c r="Y156" s="45"/>
      <c r="Z156" s="45"/>
      <c r="AA156" s="45"/>
      <c r="AB156" s="41"/>
      <c r="AC156" s="41"/>
      <c r="AD156" s="41"/>
      <c r="AE156" s="41"/>
      <c r="AF156" s="41">
        <v>32</v>
      </c>
      <c r="AG156" s="41"/>
      <c r="AH156" s="42"/>
      <c r="AI156" s="42"/>
      <c r="AJ156" s="42"/>
      <c r="AK156" s="42"/>
      <c r="AL156" s="42"/>
      <c r="AM156" s="42"/>
      <c r="AN156" s="37"/>
      <c r="AO156" s="26"/>
    </row>
    <row r="157" spans="1:41" ht="24.9" customHeight="1" x14ac:dyDescent="0.25">
      <c r="A157" s="222" t="str">
        <f t="shared" si="42"/>
        <v>Ok</v>
      </c>
      <c r="B157" s="36"/>
      <c r="C157" s="158">
        <v>45616</v>
      </c>
      <c r="D157" s="73" t="s">
        <v>834</v>
      </c>
      <c r="E157" s="156"/>
      <c r="F157" s="156">
        <v>32</v>
      </c>
      <c r="G157" s="225">
        <f t="shared" si="44"/>
        <v>7436.4100000000008</v>
      </c>
      <c r="H157" s="32"/>
      <c r="I157" s="13" t="s">
        <v>832</v>
      </c>
      <c r="J157" s="47"/>
      <c r="K157" s="43"/>
      <c r="L157" s="38"/>
      <c r="M157" s="71"/>
      <c r="N157" s="39"/>
      <c r="O157" s="39"/>
      <c r="P157" s="39"/>
      <c r="Q157" s="72"/>
      <c r="R157" s="44"/>
      <c r="S157" s="44"/>
      <c r="T157" s="44"/>
      <c r="U157" s="44"/>
      <c r="V157" s="40"/>
      <c r="W157" s="40"/>
      <c r="X157" s="45"/>
      <c r="Y157" s="45"/>
      <c r="Z157" s="45"/>
      <c r="AA157" s="45"/>
      <c r="AB157" s="41"/>
      <c r="AC157" s="41"/>
      <c r="AD157" s="41"/>
      <c r="AE157" s="41"/>
      <c r="AF157" s="41">
        <v>32</v>
      </c>
      <c r="AG157" s="41"/>
      <c r="AH157" s="42"/>
      <c r="AI157" s="42"/>
      <c r="AJ157" s="42"/>
      <c r="AK157" s="42"/>
      <c r="AL157" s="42"/>
      <c r="AM157" s="42"/>
      <c r="AN157" s="37"/>
      <c r="AO157" s="26"/>
    </row>
    <row r="158" spans="1:41" ht="24.9" customHeight="1" x14ac:dyDescent="0.25">
      <c r="A158" s="222" t="str">
        <f t="shared" si="42"/>
        <v>Ok</v>
      </c>
      <c r="B158" s="36"/>
      <c r="C158" s="158">
        <v>45616</v>
      </c>
      <c r="D158" s="73" t="s">
        <v>833</v>
      </c>
      <c r="E158" s="156"/>
      <c r="F158" s="156">
        <v>71</v>
      </c>
      <c r="G158" s="225">
        <f t="shared" si="44"/>
        <v>7404.4100000000008</v>
      </c>
      <c r="H158" s="32"/>
      <c r="I158" s="13" t="s">
        <v>828</v>
      </c>
      <c r="J158" s="47"/>
      <c r="K158" s="43"/>
      <c r="L158" s="38"/>
      <c r="M158" s="71"/>
      <c r="N158" s="39"/>
      <c r="O158" s="39"/>
      <c r="P158" s="39"/>
      <c r="Q158" s="72"/>
      <c r="R158" s="44"/>
      <c r="S158" s="44">
        <v>4</v>
      </c>
      <c r="T158" s="44">
        <v>67</v>
      </c>
      <c r="U158" s="44"/>
      <c r="V158" s="40"/>
      <c r="W158" s="40"/>
      <c r="X158" s="45"/>
      <c r="Y158" s="45"/>
      <c r="Z158" s="45"/>
      <c r="AA158" s="45"/>
      <c r="AB158" s="41"/>
      <c r="AC158" s="41"/>
      <c r="AD158" s="41"/>
      <c r="AE158" s="41"/>
      <c r="AF158" s="41"/>
      <c r="AG158" s="41"/>
      <c r="AH158" s="42"/>
      <c r="AI158" s="42"/>
      <c r="AJ158" s="42"/>
      <c r="AK158" s="42"/>
      <c r="AL158" s="42"/>
      <c r="AM158" s="42"/>
      <c r="AN158" s="37"/>
      <c r="AO158" s="26"/>
    </row>
    <row r="159" spans="1:41" ht="24.9" customHeight="1" x14ac:dyDescent="0.25">
      <c r="A159" s="222" t="str">
        <f t="shared" si="42"/>
        <v>Ok</v>
      </c>
      <c r="B159" s="36"/>
      <c r="C159" s="158">
        <v>45616</v>
      </c>
      <c r="D159" s="73" t="s">
        <v>833</v>
      </c>
      <c r="E159" s="156"/>
      <c r="F159" s="156">
        <v>62</v>
      </c>
      <c r="G159" s="225">
        <f t="shared" si="44"/>
        <v>7333.4100000000008</v>
      </c>
      <c r="H159" s="32"/>
      <c r="I159" s="13" t="s">
        <v>773</v>
      </c>
      <c r="J159" s="47"/>
      <c r="K159" s="43"/>
      <c r="L159" s="38"/>
      <c r="M159" s="71"/>
      <c r="N159" s="39"/>
      <c r="O159" s="39"/>
      <c r="P159" s="39"/>
      <c r="Q159" s="72"/>
      <c r="R159" s="44"/>
      <c r="S159" s="44"/>
      <c r="T159" s="44">
        <v>37</v>
      </c>
      <c r="U159" s="44"/>
      <c r="V159" s="40">
        <v>25</v>
      </c>
      <c r="W159" s="40"/>
      <c r="X159" s="45"/>
      <c r="Y159" s="45"/>
      <c r="Z159" s="45"/>
      <c r="AA159" s="45"/>
      <c r="AB159" s="41"/>
      <c r="AC159" s="41"/>
      <c r="AD159" s="41"/>
      <c r="AE159" s="41"/>
      <c r="AF159" s="41"/>
      <c r="AG159" s="41"/>
      <c r="AH159" s="42"/>
      <c r="AI159" s="42"/>
      <c r="AJ159" s="42"/>
      <c r="AK159" s="42"/>
      <c r="AL159" s="42"/>
      <c r="AM159" s="42"/>
      <c r="AN159" s="37"/>
      <c r="AO159" s="26"/>
    </row>
    <row r="160" spans="1:41" ht="24.9" customHeight="1" x14ac:dyDescent="0.25">
      <c r="A160" s="222" t="str">
        <f t="shared" si="42"/>
        <v>Ok</v>
      </c>
      <c r="B160" s="36"/>
      <c r="C160" s="158">
        <v>45616</v>
      </c>
      <c r="D160" s="73" t="s">
        <v>833</v>
      </c>
      <c r="E160" s="156"/>
      <c r="F160" s="156">
        <v>70</v>
      </c>
      <c r="G160" s="225">
        <f t="shared" si="44"/>
        <v>7271.4100000000008</v>
      </c>
      <c r="H160" s="32"/>
      <c r="I160" s="13" t="s">
        <v>829</v>
      </c>
      <c r="J160" s="47"/>
      <c r="K160" s="43"/>
      <c r="L160" s="38"/>
      <c r="M160" s="71"/>
      <c r="N160" s="39"/>
      <c r="O160" s="39"/>
      <c r="P160" s="39"/>
      <c r="Q160" s="72"/>
      <c r="R160" s="44"/>
      <c r="S160" s="44"/>
      <c r="T160" s="44">
        <v>45</v>
      </c>
      <c r="U160" s="44"/>
      <c r="V160" s="40">
        <v>25</v>
      </c>
      <c r="W160" s="40"/>
      <c r="X160" s="45"/>
      <c r="Y160" s="45"/>
      <c r="Z160" s="45"/>
      <c r="AA160" s="45"/>
      <c r="AB160" s="41"/>
      <c r="AC160" s="41"/>
      <c r="AD160" s="41"/>
      <c r="AE160" s="41"/>
      <c r="AF160" s="41"/>
      <c r="AG160" s="41"/>
      <c r="AH160" s="42"/>
      <c r="AI160" s="42"/>
      <c r="AJ160" s="42"/>
      <c r="AK160" s="42"/>
      <c r="AL160" s="42"/>
      <c r="AM160" s="42"/>
      <c r="AN160" s="37"/>
      <c r="AO160" s="26"/>
    </row>
    <row r="161" spans="1:41" ht="24.9" customHeight="1" x14ac:dyDescent="0.25">
      <c r="A161" s="222" t="str">
        <f t="shared" si="42"/>
        <v>Ok</v>
      </c>
      <c r="B161" s="36"/>
      <c r="C161" s="220">
        <v>45611</v>
      </c>
      <c r="D161" s="218" t="s">
        <v>827</v>
      </c>
      <c r="E161" s="219">
        <v>317</v>
      </c>
      <c r="F161" s="156"/>
      <c r="G161" s="225">
        <f t="shared" ref="G161:G163" si="45">G162-E161+F161</f>
        <v>7201.4100000000008</v>
      </c>
      <c r="H161" s="32"/>
      <c r="I161" s="13"/>
      <c r="J161" s="47"/>
      <c r="K161" s="43"/>
      <c r="L161" s="38"/>
      <c r="M161" s="71"/>
      <c r="N161" s="39"/>
      <c r="O161" s="39"/>
      <c r="P161" s="39"/>
      <c r="Q161" s="72"/>
      <c r="R161" s="44">
        <v>317</v>
      </c>
      <c r="S161" s="44"/>
      <c r="T161" s="44"/>
      <c r="U161" s="44"/>
      <c r="V161" s="40"/>
      <c r="W161" s="40"/>
      <c r="X161" s="45"/>
      <c r="Y161" s="45"/>
      <c r="Z161" s="45"/>
      <c r="AA161" s="45"/>
      <c r="AB161" s="41"/>
      <c r="AC161" s="41"/>
      <c r="AD161" s="41"/>
      <c r="AE161" s="41"/>
      <c r="AF161" s="41"/>
      <c r="AG161" s="41"/>
      <c r="AH161" s="42"/>
      <c r="AI161" s="42"/>
      <c r="AJ161" s="42"/>
      <c r="AK161" s="42"/>
      <c r="AL161" s="42"/>
      <c r="AM161" s="42"/>
      <c r="AN161" s="37"/>
      <c r="AO161" s="26"/>
    </row>
    <row r="162" spans="1:41" ht="41.4" customHeight="1" x14ac:dyDescent="0.25">
      <c r="A162" s="222" t="str">
        <f t="shared" si="42"/>
        <v>Ok</v>
      </c>
      <c r="B162" s="36"/>
      <c r="C162" s="220">
        <v>45611</v>
      </c>
      <c r="D162" s="218" t="s">
        <v>825</v>
      </c>
      <c r="E162" s="219">
        <v>141</v>
      </c>
      <c r="F162" s="156"/>
      <c r="G162" s="225">
        <f t="shared" si="45"/>
        <v>7518.4100000000008</v>
      </c>
      <c r="H162" s="32"/>
      <c r="I162" s="13" t="s">
        <v>15</v>
      </c>
      <c r="J162" s="47"/>
      <c r="K162" s="43"/>
      <c r="L162" s="38"/>
      <c r="M162" s="71"/>
      <c r="N162" s="39"/>
      <c r="O162" s="39"/>
      <c r="P162" s="39">
        <v>141</v>
      </c>
      <c r="Q162" s="72"/>
      <c r="R162" s="44"/>
      <c r="S162" s="44"/>
      <c r="T162" s="44"/>
      <c r="U162" s="44"/>
      <c r="V162" s="40"/>
      <c r="W162" s="40"/>
      <c r="X162" s="45"/>
      <c r="Y162" s="45"/>
      <c r="Z162" s="45"/>
      <c r="AA162" s="45"/>
      <c r="AB162" s="41"/>
      <c r="AC162" s="41"/>
      <c r="AD162" s="41"/>
      <c r="AE162" s="41"/>
      <c r="AF162" s="41"/>
      <c r="AG162" s="41"/>
      <c r="AH162" s="42"/>
      <c r="AI162" s="42"/>
      <c r="AJ162" s="42"/>
      <c r="AK162" s="42"/>
      <c r="AL162" s="42"/>
      <c r="AM162" s="42"/>
      <c r="AN162" s="37"/>
      <c r="AO162" s="26"/>
    </row>
    <row r="163" spans="1:41" ht="24.9" customHeight="1" x14ac:dyDescent="0.25">
      <c r="A163" s="222" t="str">
        <f t="shared" si="42"/>
        <v>Ok</v>
      </c>
      <c r="B163" s="36"/>
      <c r="C163" s="220">
        <v>45610</v>
      </c>
      <c r="D163" s="218" t="s">
        <v>824</v>
      </c>
      <c r="E163" s="219">
        <v>244.48</v>
      </c>
      <c r="F163" s="156"/>
      <c r="G163" s="225">
        <f t="shared" si="45"/>
        <v>7659.4100000000008</v>
      </c>
      <c r="H163" s="32"/>
      <c r="I163" s="13" t="s">
        <v>826</v>
      </c>
      <c r="J163" s="47"/>
      <c r="K163" s="43"/>
      <c r="L163" s="38"/>
      <c r="M163" s="71"/>
      <c r="N163" s="39">
        <v>178.88</v>
      </c>
      <c r="O163" s="39">
        <v>65.599999999999994</v>
      </c>
      <c r="P163" s="39"/>
      <c r="Q163" s="72"/>
      <c r="R163" s="44"/>
      <c r="S163" s="44"/>
      <c r="T163" s="44"/>
      <c r="U163" s="44"/>
      <c r="V163" s="40"/>
      <c r="W163" s="40"/>
      <c r="X163" s="45"/>
      <c r="Y163" s="45"/>
      <c r="Z163" s="45"/>
      <c r="AA163" s="45"/>
      <c r="AB163" s="41"/>
      <c r="AC163" s="41"/>
      <c r="AD163" s="41"/>
      <c r="AE163" s="41"/>
      <c r="AF163" s="41"/>
      <c r="AG163" s="41"/>
      <c r="AH163" s="42"/>
      <c r="AI163" s="42"/>
      <c r="AJ163" s="42"/>
      <c r="AK163" s="42"/>
      <c r="AL163" s="42"/>
      <c r="AM163" s="42"/>
      <c r="AN163" s="37"/>
      <c r="AO163" s="26"/>
    </row>
    <row r="164" spans="1:41" s="240" customFormat="1" ht="24.9" customHeight="1" x14ac:dyDescent="0.35">
      <c r="A164" s="222" t="str">
        <f t="shared" si="42"/>
        <v>Ok</v>
      </c>
      <c r="B164" s="223"/>
      <c r="C164" s="224">
        <v>45608</v>
      </c>
      <c r="D164" s="99" t="s">
        <v>823</v>
      </c>
      <c r="E164" s="157"/>
      <c r="F164" s="157">
        <v>50</v>
      </c>
      <c r="G164" s="225">
        <f t="shared" ref="G164:G168" si="46">G165-E164+F164</f>
        <v>7903.89</v>
      </c>
      <c r="H164" s="226"/>
      <c r="I164" s="227" t="s">
        <v>820</v>
      </c>
      <c r="J164" s="228"/>
      <c r="K164" s="229"/>
      <c r="L164" s="230"/>
      <c r="M164" s="231"/>
      <c r="N164" s="232"/>
      <c r="O164" s="232"/>
      <c r="P164" s="232"/>
      <c r="Q164" s="233"/>
      <c r="R164" s="234"/>
      <c r="S164" s="234"/>
      <c r="T164" s="234"/>
      <c r="U164" s="234"/>
      <c r="V164" s="235">
        <v>50</v>
      </c>
      <c r="W164" s="235"/>
      <c r="X164" s="236"/>
      <c r="Y164" s="236"/>
      <c r="Z164" s="236"/>
      <c r="AA164" s="236"/>
      <c r="AB164" s="237"/>
      <c r="AC164" s="237"/>
      <c r="AD164" s="237"/>
      <c r="AE164" s="237"/>
      <c r="AF164" s="237"/>
      <c r="AG164" s="237"/>
      <c r="AH164" s="238"/>
      <c r="AI164" s="238"/>
      <c r="AJ164" s="238"/>
      <c r="AK164" s="238"/>
      <c r="AL164" s="238"/>
      <c r="AM164" s="238"/>
      <c r="AN164" s="239"/>
      <c r="AO164" s="417"/>
    </row>
    <row r="165" spans="1:41" ht="22.2" x14ac:dyDescent="0.25">
      <c r="A165" s="46" t="str">
        <f t="shared" si="42"/>
        <v>Ok</v>
      </c>
      <c r="B165" s="36"/>
      <c r="C165" s="220">
        <v>45607</v>
      </c>
      <c r="D165" s="218" t="s">
        <v>818</v>
      </c>
      <c r="E165" s="219"/>
      <c r="F165" s="219">
        <v>14</v>
      </c>
      <c r="G165" s="118">
        <f t="shared" si="46"/>
        <v>7853.89</v>
      </c>
      <c r="H165" s="32"/>
      <c r="I165" s="13" t="s">
        <v>819</v>
      </c>
      <c r="J165" s="47"/>
      <c r="K165" s="43"/>
      <c r="L165" s="38"/>
      <c r="M165" s="71"/>
      <c r="N165" s="39"/>
      <c r="O165" s="39"/>
      <c r="P165" s="39"/>
      <c r="Q165" s="72"/>
      <c r="R165" s="44"/>
      <c r="S165" s="44"/>
      <c r="T165" s="44"/>
      <c r="U165" s="44"/>
      <c r="V165" s="40"/>
      <c r="W165" s="40"/>
      <c r="X165" s="45"/>
      <c r="Y165" s="45"/>
      <c r="Z165" s="45"/>
      <c r="AA165" s="45"/>
      <c r="AB165" s="41"/>
      <c r="AC165" s="41"/>
      <c r="AD165" s="41">
        <v>-14</v>
      </c>
      <c r="AE165" s="41"/>
      <c r="AF165" s="41"/>
      <c r="AG165" s="41"/>
      <c r="AH165" s="42"/>
      <c r="AI165" s="42"/>
      <c r="AJ165" s="42"/>
      <c r="AK165" s="42"/>
      <c r="AL165" s="42"/>
      <c r="AM165" s="42"/>
      <c r="AN165" s="37"/>
      <c r="AO165" s="26"/>
    </row>
    <row r="166" spans="1:41" ht="24.9" customHeight="1" x14ac:dyDescent="0.25">
      <c r="A166" s="46" t="str">
        <f t="shared" si="42"/>
        <v>Ok</v>
      </c>
      <c r="B166" s="36"/>
      <c r="C166" s="220">
        <v>45603</v>
      </c>
      <c r="D166" s="218" t="s">
        <v>821</v>
      </c>
      <c r="E166" s="219"/>
      <c r="F166" s="219">
        <v>22</v>
      </c>
      <c r="G166" s="118">
        <f t="shared" si="46"/>
        <v>7839.89</v>
      </c>
      <c r="H166" s="32"/>
      <c r="I166" s="13" t="s">
        <v>817</v>
      </c>
      <c r="J166" s="47"/>
      <c r="K166" s="43"/>
      <c r="L166" s="38"/>
      <c r="M166" s="71"/>
      <c r="N166" s="39"/>
      <c r="O166" s="39"/>
      <c r="P166" s="39"/>
      <c r="Q166" s="72"/>
      <c r="R166" s="44"/>
      <c r="S166" s="44">
        <v>22</v>
      </c>
      <c r="T166" s="44"/>
      <c r="U166" s="44"/>
      <c r="V166" s="40"/>
      <c r="W166" s="40"/>
      <c r="X166" s="45"/>
      <c r="Y166" s="45"/>
      <c r="Z166" s="45"/>
      <c r="AA166" s="45"/>
      <c r="AB166" s="41"/>
      <c r="AC166" s="41"/>
      <c r="AD166" s="41"/>
      <c r="AE166" s="41"/>
      <c r="AF166" s="41"/>
      <c r="AG166" s="41"/>
      <c r="AH166" s="42"/>
      <c r="AI166" s="42"/>
      <c r="AJ166" s="42"/>
      <c r="AK166" s="42"/>
      <c r="AL166" s="42"/>
      <c r="AM166" s="42"/>
      <c r="AN166" s="37"/>
      <c r="AO166" s="26"/>
    </row>
    <row r="167" spans="1:41" ht="24.9" customHeight="1" x14ac:dyDescent="0.3">
      <c r="A167" s="46" t="str">
        <f t="shared" si="42"/>
        <v>Ok</v>
      </c>
      <c r="B167" s="36"/>
      <c r="C167" s="158">
        <v>45600</v>
      </c>
      <c r="D167" s="73" t="s">
        <v>768</v>
      </c>
      <c r="E167" s="156"/>
      <c r="F167" s="156">
        <v>32</v>
      </c>
      <c r="G167" s="118">
        <f t="shared" si="46"/>
        <v>7817.89</v>
      </c>
      <c r="H167" s="32"/>
      <c r="I167" s="13" t="s">
        <v>764</v>
      </c>
      <c r="J167" s="47"/>
      <c r="K167" s="43"/>
      <c r="L167" s="38"/>
      <c r="M167" s="71"/>
      <c r="N167" s="39"/>
      <c r="O167" s="39"/>
      <c r="P167" s="39"/>
      <c r="Q167" s="72"/>
      <c r="R167" s="44"/>
      <c r="S167" s="44"/>
      <c r="T167" s="44"/>
      <c r="U167" s="44"/>
      <c r="V167" s="40"/>
      <c r="W167" s="40"/>
      <c r="X167" s="45"/>
      <c r="Y167" s="45"/>
      <c r="Z167" s="45"/>
      <c r="AA167" s="45"/>
      <c r="AB167" s="41"/>
      <c r="AC167" s="41"/>
      <c r="AD167" s="41"/>
      <c r="AE167" s="41"/>
      <c r="AF167" s="41">
        <v>32</v>
      </c>
      <c r="AG167" s="41"/>
      <c r="AH167" s="42"/>
      <c r="AI167" s="42"/>
      <c r="AJ167" s="42"/>
      <c r="AK167" s="42"/>
      <c r="AL167" s="42"/>
      <c r="AM167" s="42"/>
      <c r="AN167" s="37"/>
      <c r="AO167" s="26"/>
    </row>
    <row r="168" spans="1:41" ht="24.9" customHeight="1" x14ac:dyDescent="0.3">
      <c r="A168" s="46" t="str">
        <f t="shared" si="42"/>
        <v>Ok</v>
      </c>
      <c r="B168" s="36"/>
      <c r="C168" s="158">
        <v>45600</v>
      </c>
      <c r="D168" s="73" t="s">
        <v>768</v>
      </c>
      <c r="E168" s="156"/>
      <c r="F168" s="156">
        <v>32</v>
      </c>
      <c r="G168" s="118">
        <f t="shared" si="46"/>
        <v>7785.89</v>
      </c>
      <c r="H168" s="32"/>
      <c r="I168" s="13" t="s">
        <v>765</v>
      </c>
      <c r="J168" s="47"/>
      <c r="K168" s="43"/>
      <c r="L168" s="38"/>
      <c r="M168" s="71"/>
      <c r="N168" s="39"/>
      <c r="O168" s="39"/>
      <c r="P168" s="39"/>
      <c r="Q168" s="72"/>
      <c r="R168" s="44"/>
      <c r="S168" s="44"/>
      <c r="T168" s="44"/>
      <c r="U168" s="44"/>
      <c r="V168" s="40"/>
      <c r="W168" s="40"/>
      <c r="X168" s="45"/>
      <c r="Y168" s="45"/>
      <c r="Z168" s="45"/>
      <c r="AA168" s="45"/>
      <c r="AB168" s="41"/>
      <c r="AC168" s="41"/>
      <c r="AD168" s="41"/>
      <c r="AE168" s="41"/>
      <c r="AF168" s="41">
        <v>32</v>
      </c>
      <c r="AG168" s="41"/>
      <c r="AH168" s="42"/>
      <c r="AI168" s="42"/>
      <c r="AJ168" s="42"/>
      <c r="AK168" s="42"/>
      <c r="AL168" s="42"/>
      <c r="AM168" s="42"/>
      <c r="AN168" s="37"/>
      <c r="AO168" s="26"/>
    </row>
    <row r="169" spans="1:41" ht="24.9" customHeight="1" x14ac:dyDescent="0.3">
      <c r="A169" s="46" t="str">
        <f t="shared" si="42"/>
        <v>Ok</v>
      </c>
      <c r="B169" s="36"/>
      <c r="C169" s="158">
        <v>45595</v>
      </c>
      <c r="D169" s="73" t="s">
        <v>783</v>
      </c>
      <c r="E169" s="156"/>
      <c r="F169" s="156">
        <v>50</v>
      </c>
      <c r="G169" s="118">
        <f t="shared" ref="G169:G176" si="47">G170-E169+F169</f>
        <v>7753.89</v>
      </c>
      <c r="H169" s="32"/>
      <c r="I169" s="13" t="s">
        <v>781</v>
      </c>
      <c r="J169" s="47"/>
      <c r="K169" s="43"/>
      <c r="L169" s="38"/>
      <c r="M169" s="71"/>
      <c r="N169" s="39"/>
      <c r="O169" s="39"/>
      <c r="P169" s="39"/>
      <c r="Q169" s="72"/>
      <c r="R169" s="44"/>
      <c r="S169" s="44"/>
      <c r="T169" s="44"/>
      <c r="U169" s="44">
        <v>50</v>
      </c>
      <c r="V169" s="40"/>
      <c r="W169" s="40"/>
      <c r="X169" s="45"/>
      <c r="Y169" s="45"/>
      <c r="Z169" s="45"/>
      <c r="AA169" s="45"/>
      <c r="AB169" s="41"/>
      <c r="AC169" s="41"/>
      <c r="AD169" s="41"/>
      <c r="AE169" s="41"/>
      <c r="AF169" s="41"/>
      <c r="AG169" s="41"/>
      <c r="AH169" s="42"/>
      <c r="AI169" s="42"/>
      <c r="AJ169" s="42"/>
      <c r="AK169" s="42"/>
      <c r="AL169" s="42"/>
      <c r="AM169" s="42"/>
      <c r="AN169" s="37"/>
      <c r="AO169" s="26"/>
    </row>
    <row r="170" spans="1:41" ht="24.9" customHeight="1" x14ac:dyDescent="0.3">
      <c r="A170" s="46" t="str">
        <f t="shared" si="42"/>
        <v>Ok</v>
      </c>
      <c r="B170" s="36"/>
      <c r="C170" s="158">
        <v>45595</v>
      </c>
      <c r="D170" s="73" t="s">
        <v>783</v>
      </c>
      <c r="E170" s="156"/>
      <c r="F170" s="156">
        <v>50</v>
      </c>
      <c r="G170" s="118">
        <f t="shared" si="47"/>
        <v>7703.89</v>
      </c>
      <c r="H170" s="32"/>
      <c r="I170" s="13" t="s">
        <v>782</v>
      </c>
      <c r="J170" s="47"/>
      <c r="K170" s="43"/>
      <c r="L170" s="38"/>
      <c r="M170" s="71"/>
      <c r="N170" s="39"/>
      <c r="O170" s="39"/>
      <c r="P170" s="39"/>
      <c r="Q170" s="72"/>
      <c r="R170" s="44"/>
      <c r="S170" s="44"/>
      <c r="T170" s="44"/>
      <c r="U170" s="44">
        <v>50</v>
      </c>
      <c r="V170" s="40"/>
      <c r="W170" s="40"/>
      <c r="X170" s="45"/>
      <c r="Y170" s="45"/>
      <c r="Z170" s="45"/>
      <c r="AA170" s="45"/>
      <c r="AB170" s="41"/>
      <c r="AC170" s="41"/>
      <c r="AD170" s="41"/>
      <c r="AE170" s="41"/>
      <c r="AF170" s="41"/>
      <c r="AG170" s="41"/>
      <c r="AH170" s="42"/>
      <c r="AI170" s="42"/>
      <c r="AJ170" s="42"/>
      <c r="AK170" s="42"/>
      <c r="AL170" s="42"/>
      <c r="AM170" s="42"/>
      <c r="AN170" s="37"/>
      <c r="AO170" s="26"/>
    </row>
    <row r="171" spans="1:41" ht="24.9" customHeight="1" x14ac:dyDescent="0.3">
      <c r="A171" s="46" t="str">
        <f t="shared" si="42"/>
        <v>Ok</v>
      </c>
      <c r="B171" s="36"/>
      <c r="C171" s="158">
        <v>45590</v>
      </c>
      <c r="D171" s="73" t="s">
        <v>769</v>
      </c>
      <c r="E171" s="156"/>
      <c r="F171" s="156">
        <v>100</v>
      </c>
      <c r="G171" s="118">
        <f t="shared" si="47"/>
        <v>7653.89</v>
      </c>
      <c r="H171" s="32"/>
      <c r="I171" s="13" t="s">
        <v>770</v>
      </c>
      <c r="J171" s="47"/>
      <c r="K171" s="43"/>
      <c r="L171" s="38"/>
      <c r="M171" s="71"/>
      <c r="N171" s="39"/>
      <c r="O171" s="39"/>
      <c r="P171" s="39"/>
      <c r="Q171" s="72"/>
      <c r="R171" s="44"/>
      <c r="S171" s="44"/>
      <c r="T171" s="44">
        <v>75</v>
      </c>
      <c r="U171" s="44"/>
      <c r="V171" s="40">
        <v>25</v>
      </c>
      <c r="W171" s="40"/>
      <c r="X171" s="45"/>
      <c r="Y171" s="45"/>
      <c r="Z171" s="45"/>
      <c r="AA171" s="45"/>
      <c r="AB171" s="41"/>
      <c r="AC171" s="41"/>
      <c r="AD171" s="41"/>
      <c r="AE171" s="41"/>
      <c r="AF171" s="41"/>
      <c r="AG171" s="41"/>
      <c r="AH171" s="42"/>
      <c r="AI171" s="42"/>
      <c r="AJ171" s="42"/>
      <c r="AK171" s="42"/>
      <c r="AL171" s="42"/>
      <c r="AM171" s="42"/>
      <c r="AN171" s="37"/>
      <c r="AO171" s="26"/>
    </row>
    <row r="172" spans="1:41" ht="24.9" customHeight="1" x14ac:dyDescent="0.3">
      <c r="A172" s="46" t="str">
        <f t="shared" si="42"/>
        <v>Ok</v>
      </c>
      <c r="B172" s="36"/>
      <c r="C172" s="158">
        <v>45590</v>
      </c>
      <c r="D172" s="73" t="s">
        <v>769</v>
      </c>
      <c r="E172" s="156"/>
      <c r="F172" s="156">
        <v>71</v>
      </c>
      <c r="G172" s="118">
        <f t="shared" si="47"/>
        <v>7553.89</v>
      </c>
      <c r="H172" s="32"/>
      <c r="I172" s="13" t="s">
        <v>771</v>
      </c>
      <c r="J172" s="47"/>
      <c r="K172" s="43"/>
      <c r="L172" s="38"/>
      <c r="M172" s="71"/>
      <c r="N172" s="39"/>
      <c r="O172" s="39"/>
      <c r="P172" s="39"/>
      <c r="Q172" s="72"/>
      <c r="R172" s="44"/>
      <c r="S172" s="44">
        <v>71</v>
      </c>
      <c r="T172" s="44"/>
      <c r="U172" s="44"/>
      <c r="V172" s="40"/>
      <c r="W172" s="40"/>
      <c r="X172" s="45"/>
      <c r="Y172" s="45"/>
      <c r="Z172" s="45"/>
      <c r="AA172" s="45"/>
      <c r="AB172" s="41"/>
      <c r="AC172" s="41"/>
      <c r="AD172" s="41"/>
      <c r="AE172" s="41"/>
      <c r="AF172" s="41"/>
      <c r="AG172" s="41"/>
      <c r="AH172" s="42"/>
      <c r="AI172" s="42"/>
      <c r="AJ172" s="42"/>
      <c r="AK172" s="42"/>
      <c r="AL172" s="42"/>
      <c r="AM172" s="42"/>
      <c r="AN172" s="37"/>
      <c r="AO172" s="26"/>
    </row>
    <row r="173" spans="1:41" ht="24.9" customHeight="1" x14ac:dyDescent="0.3">
      <c r="A173" s="46" t="str">
        <f t="shared" si="42"/>
        <v>Ok</v>
      </c>
      <c r="B173" s="36"/>
      <c r="C173" s="158">
        <v>45590</v>
      </c>
      <c r="D173" s="73" t="s">
        <v>769</v>
      </c>
      <c r="E173" s="156"/>
      <c r="F173" s="156">
        <v>77</v>
      </c>
      <c r="G173" s="118">
        <f t="shared" si="47"/>
        <v>7482.89</v>
      </c>
      <c r="H173" s="32"/>
      <c r="I173" s="13" t="s">
        <v>772</v>
      </c>
      <c r="J173" s="47"/>
      <c r="K173" s="43"/>
      <c r="L173" s="38"/>
      <c r="M173" s="71"/>
      <c r="N173" s="39"/>
      <c r="O173" s="39"/>
      <c r="P173" s="39"/>
      <c r="Q173" s="72"/>
      <c r="R173" s="44"/>
      <c r="S173" s="44"/>
      <c r="T173" s="44">
        <v>77</v>
      </c>
      <c r="U173" s="44"/>
      <c r="V173" s="40"/>
      <c r="W173" s="40"/>
      <c r="X173" s="45"/>
      <c r="Y173" s="45"/>
      <c r="Z173" s="45"/>
      <c r="AA173" s="45"/>
      <c r="AB173" s="41"/>
      <c r="AC173" s="41"/>
      <c r="AD173" s="41"/>
      <c r="AE173" s="41"/>
      <c r="AF173" s="41"/>
      <c r="AG173" s="41"/>
      <c r="AH173" s="42"/>
      <c r="AI173" s="42"/>
      <c r="AJ173" s="42"/>
      <c r="AK173" s="42"/>
      <c r="AL173" s="42"/>
      <c r="AM173" s="42"/>
      <c r="AN173" s="37"/>
      <c r="AO173" s="26"/>
    </row>
    <row r="174" spans="1:41" ht="24.9" customHeight="1" x14ac:dyDescent="0.3">
      <c r="A174" s="46" t="str">
        <f t="shared" si="42"/>
        <v>Ok</v>
      </c>
      <c r="B174" s="36"/>
      <c r="C174" s="158">
        <v>45590</v>
      </c>
      <c r="D174" s="73" t="s">
        <v>769</v>
      </c>
      <c r="E174" s="156"/>
      <c r="F174" s="156">
        <v>63</v>
      </c>
      <c r="G174" s="118">
        <f t="shared" si="47"/>
        <v>7405.89</v>
      </c>
      <c r="H174" s="32"/>
      <c r="I174" s="13" t="s">
        <v>773</v>
      </c>
      <c r="J174" s="47"/>
      <c r="K174" s="43"/>
      <c r="L174" s="38"/>
      <c r="M174" s="71"/>
      <c r="N174" s="39"/>
      <c r="O174" s="39"/>
      <c r="P174" s="39"/>
      <c r="Q174" s="72"/>
      <c r="R174" s="44"/>
      <c r="S174" s="44">
        <v>12</v>
      </c>
      <c r="T174" s="44">
        <v>51</v>
      </c>
      <c r="U174" s="44"/>
      <c r="V174" s="40"/>
      <c r="W174" s="40"/>
      <c r="X174" s="45"/>
      <c r="Y174" s="45"/>
      <c r="Z174" s="45"/>
      <c r="AA174" s="45"/>
      <c r="AB174" s="41"/>
      <c r="AC174" s="41"/>
      <c r="AD174" s="41"/>
      <c r="AE174" s="41"/>
      <c r="AF174" s="41"/>
      <c r="AG174" s="41"/>
      <c r="AH174" s="42"/>
      <c r="AI174" s="42"/>
      <c r="AJ174" s="42"/>
      <c r="AK174" s="42"/>
      <c r="AL174" s="42"/>
      <c r="AM174" s="42"/>
      <c r="AN174" s="37"/>
      <c r="AO174" s="26"/>
    </row>
    <row r="175" spans="1:41" ht="24.9" customHeight="1" x14ac:dyDescent="0.3">
      <c r="A175" s="46" t="str">
        <f t="shared" si="42"/>
        <v>Ok</v>
      </c>
      <c r="B175" s="36"/>
      <c r="C175" s="158">
        <v>45590</v>
      </c>
      <c r="D175" s="73" t="s">
        <v>769</v>
      </c>
      <c r="E175" s="156"/>
      <c r="F175" s="156">
        <v>70</v>
      </c>
      <c r="G175" s="118">
        <f t="shared" si="47"/>
        <v>7342.89</v>
      </c>
      <c r="H175" s="32"/>
      <c r="I175" s="13" t="s">
        <v>774</v>
      </c>
      <c r="J175" s="47"/>
      <c r="K175" s="43"/>
      <c r="L175" s="38"/>
      <c r="M175" s="71"/>
      <c r="N175" s="39"/>
      <c r="O175" s="39"/>
      <c r="P175" s="39"/>
      <c r="Q175" s="72"/>
      <c r="R175" s="44"/>
      <c r="S175" s="44">
        <v>5</v>
      </c>
      <c r="T175" s="44">
        <v>65</v>
      </c>
      <c r="U175" s="44"/>
      <c r="V175" s="40"/>
      <c r="W175" s="40"/>
      <c r="X175" s="45"/>
      <c r="Y175" s="45"/>
      <c r="Z175" s="45"/>
      <c r="AA175" s="45"/>
      <c r="AB175" s="41"/>
      <c r="AC175" s="41"/>
      <c r="AD175" s="41"/>
      <c r="AE175" s="41"/>
      <c r="AF175" s="41"/>
      <c r="AG175" s="41"/>
      <c r="AH175" s="42"/>
      <c r="AI175" s="42"/>
      <c r="AJ175" s="42"/>
      <c r="AK175" s="42"/>
      <c r="AL175" s="42"/>
      <c r="AM175" s="42"/>
      <c r="AN175" s="37"/>
      <c r="AO175" s="26"/>
    </row>
    <row r="176" spans="1:41" ht="24.9" customHeight="1" x14ac:dyDescent="0.3">
      <c r="A176" s="46" t="str">
        <f t="shared" si="42"/>
        <v>Ok</v>
      </c>
      <c r="B176" s="36"/>
      <c r="C176" s="158">
        <v>45590</v>
      </c>
      <c r="D176" s="73" t="s">
        <v>769</v>
      </c>
      <c r="E176" s="156"/>
      <c r="F176" s="156">
        <v>50</v>
      </c>
      <c r="G176" s="118">
        <f t="shared" si="47"/>
        <v>7272.89</v>
      </c>
      <c r="H176" s="32"/>
      <c r="I176" s="13" t="s">
        <v>775</v>
      </c>
      <c r="J176" s="47"/>
      <c r="K176" s="43"/>
      <c r="L176" s="38"/>
      <c r="M176" s="71"/>
      <c r="N176" s="39"/>
      <c r="O176" s="39"/>
      <c r="P176" s="39"/>
      <c r="Q176" s="72"/>
      <c r="R176" s="44"/>
      <c r="S176" s="44"/>
      <c r="T176" s="44">
        <v>50</v>
      </c>
      <c r="U176" s="44"/>
      <c r="V176" s="40"/>
      <c r="W176" s="40"/>
      <c r="X176" s="45"/>
      <c r="Y176" s="45"/>
      <c r="Z176" s="45"/>
      <c r="AA176" s="45"/>
      <c r="AB176" s="41"/>
      <c r="AC176" s="41"/>
      <c r="AD176" s="41"/>
      <c r="AE176" s="41"/>
      <c r="AF176" s="41"/>
      <c r="AG176" s="41"/>
      <c r="AH176" s="42"/>
      <c r="AI176" s="42"/>
      <c r="AJ176" s="42"/>
      <c r="AK176" s="42"/>
      <c r="AL176" s="42"/>
      <c r="AM176" s="42"/>
      <c r="AN176" s="37"/>
      <c r="AO176" s="26"/>
    </row>
    <row r="177" spans="1:41" ht="24.9" customHeight="1" x14ac:dyDescent="0.25">
      <c r="A177" s="46" t="str">
        <f t="shared" si="42"/>
        <v>Ok</v>
      </c>
      <c r="B177" s="36"/>
      <c r="C177" s="159">
        <v>45587</v>
      </c>
      <c r="D177" s="99" t="s">
        <v>752</v>
      </c>
      <c r="E177" s="167">
        <v>870.7</v>
      </c>
      <c r="F177" s="167"/>
      <c r="G177" s="118">
        <f t="shared" ref="G177:G186" si="48">G178-E177+F177</f>
        <v>7222.89</v>
      </c>
      <c r="H177" s="32"/>
      <c r="I177" s="221" t="s">
        <v>1113</v>
      </c>
      <c r="J177" s="47"/>
      <c r="K177" s="43"/>
      <c r="L177" s="38"/>
      <c r="M177" s="71"/>
      <c r="N177" s="39"/>
      <c r="O177" s="39"/>
      <c r="P177" s="39"/>
      <c r="Q177" s="72"/>
      <c r="R177" s="44"/>
      <c r="S177" s="44"/>
      <c r="T177" s="44"/>
      <c r="U177" s="44"/>
      <c r="V177" s="40"/>
      <c r="W177" s="40"/>
      <c r="X177" s="45"/>
      <c r="Y177" s="45"/>
      <c r="Z177" s="45"/>
      <c r="AA177" s="45"/>
      <c r="AB177" s="41">
        <v>97.4</v>
      </c>
      <c r="AC177" s="41">
        <v>242.5</v>
      </c>
      <c r="AD177" s="41">
        <v>14</v>
      </c>
      <c r="AE177" s="41">
        <v>516.79999999999995</v>
      </c>
      <c r="AF177" s="41"/>
      <c r="AG177" s="41"/>
      <c r="AH177" s="42"/>
      <c r="AI177" s="42"/>
      <c r="AJ177" s="42"/>
      <c r="AK177" s="42"/>
      <c r="AL177" s="42"/>
      <c r="AM177" s="42"/>
      <c r="AN177" s="37"/>
      <c r="AO177" s="26"/>
    </row>
    <row r="178" spans="1:41" ht="24.9" customHeight="1" x14ac:dyDescent="0.25">
      <c r="A178" s="46" t="str">
        <f t="shared" si="42"/>
        <v>Ok</v>
      </c>
      <c r="B178" s="36"/>
      <c r="C178" s="159">
        <v>45586</v>
      </c>
      <c r="D178" s="99" t="s">
        <v>751</v>
      </c>
      <c r="E178" s="167"/>
      <c r="F178" s="167">
        <v>64</v>
      </c>
      <c r="G178" s="118">
        <f t="shared" si="48"/>
        <v>8093.59</v>
      </c>
      <c r="H178" s="32"/>
      <c r="I178" s="13" t="s">
        <v>750</v>
      </c>
      <c r="J178" s="47"/>
      <c r="K178" s="43"/>
      <c r="L178" s="38"/>
      <c r="M178" s="71"/>
      <c r="N178" s="39"/>
      <c r="O178" s="39"/>
      <c r="P178" s="39"/>
      <c r="Q178" s="72"/>
      <c r="R178" s="44"/>
      <c r="S178" s="44"/>
      <c r="T178" s="44"/>
      <c r="U178" s="44"/>
      <c r="V178" s="40"/>
      <c r="W178" s="40"/>
      <c r="X178" s="45"/>
      <c r="Y178" s="45"/>
      <c r="Z178" s="45"/>
      <c r="AA178" s="45"/>
      <c r="AB178" s="41"/>
      <c r="AC178" s="41"/>
      <c r="AD178" s="41"/>
      <c r="AE178" s="41"/>
      <c r="AF178" s="41">
        <v>64</v>
      </c>
      <c r="AG178" s="41"/>
      <c r="AH178" s="42"/>
      <c r="AI178" s="42"/>
      <c r="AJ178" s="42"/>
      <c r="AK178" s="42"/>
      <c r="AL178" s="42"/>
      <c r="AM178" s="42"/>
      <c r="AN178" s="37"/>
      <c r="AO178" s="26"/>
    </row>
    <row r="179" spans="1:41" ht="24.9" customHeight="1" x14ac:dyDescent="0.25">
      <c r="A179" s="46" t="str">
        <f t="shared" si="42"/>
        <v>Ok</v>
      </c>
      <c r="B179" s="36"/>
      <c r="C179" s="159">
        <v>45584</v>
      </c>
      <c r="D179" s="99" t="s">
        <v>749</v>
      </c>
      <c r="E179" s="167"/>
      <c r="F179" s="167">
        <v>32</v>
      </c>
      <c r="G179" s="118">
        <f t="shared" si="48"/>
        <v>8029.59</v>
      </c>
      <c r="H179" s="32"/>
      <c r="I179" s="13" t="s">
        <v>761</v>
      </c>
      <c r="J179" s="47"/>
      <c r="K179" s="43"/>
      <c r="L179" s="38"/>
      <c r="M179" s="71"/>
      <c r="N179" s="39"/>
      <c r="O179" s="39"/>
      <c r="P179" s="39"/>
      <c r="Q179" s="72"/>
      <c r="R179" s="44"/>
      <c r="S179" s="44"/>
      <c r="T179" s="44"/>
      <c r="U179" s="44"/>
      <c r="V179" s="40"/>
      <c r="W179" s="40"/>
      <c r="X179" s="45"/>
      <c r="Y179" s="45"/>
      <c r="Z179" s="45"/>
      <c r="AA179" s="45"/>
      <c r="AB179" s="41"/>
      <c r="AC179" s="41"/>
      <c r="AD179" s="41"/>
      <c r="AE179" s="41"/>
      <c r="AF179" s="41">
        <v>32</v>
      </c>
      <c r="AG179" s="41"/>
      <c r="AH179" s="42"/>
      <c r="AI179" s="42"/>
      <c r="AJ179" s="42"/>
      <c r="AK179" s="42"/>
      <c r="AL179" s="42"/>
      <c r="AM179" s="42"/>
      <c r="AN179" s="37"/>
      <c r="AO179" s="26"/>
    </row>
    <row r="180" spans="1:41" ht="24.9" customHeight="1" x14ac:dyDescent="0.25">
      <c r="A180" s="46" t="str">
        <f t="shared" ref="A180:A211" si="49">IF(ABS(SUM(L180:AN180))&lt;&gt;SUM(E180:F180),"A Distribuer","Ok")</f>
        <v>Ok</v>
      </c>
      <c r="B180" s="36"/>
      <c r="C180" s="159">
        <v>45584</v>
      </c>
      <c r="D180" s="99" t="s">
        <v>749</v>
      </c>
      <c r="E180" s="167"/>
      <c r="F180" s="167">
        <v>64</v>
      </c>
      <c r="G180" s="118">
        <f t="shared" si="48"/>
        <v>7997.59</v>
      </c>
      <c r="H180" s="32"/>
      <c r="I180" s="13" t="s">
        <v>762</v>
      </c>
      <c r="J180" s="47"/>
      <c r="K180" s="43"/>
      <c r="L180" s="38"/>
      <c r="M180" s="71"/>
      <c r="N180" s="39"/>
      <c r="O180" s="39"/>
      <c r="P180" s="39"/>
      <c r="Q180" s="72"/>
      <c r="R180" s="44"/>
      <c r="S180" s="44"/>
      <c r="T180" s="44"/>
      <c r="U180" s="44"/>
      <c r="V180" s="40"/>
      <c r="W180" s="40"/>
      <c r="X180" s="45"/>
      <c r="Y180" s="45"/>
      <c r="Z180" s="45"/>
      <c r="AA180" s="45"/>
      <c r="AB180" s="41"/>
      <c r="AC180" s="41"/>
      <c r="AD180" s="41"/>
      <c r="AE180" s="41"/>
      <c r="AF180" s="41">
        <v>64</v>
      </c>
      <c r="AG180" s="41"/>
      <c r="AH180" s="42"/>
      <c r="AI180" s="42"/>
      <c r="AJ180" s="42"/>
      <c r="AK180" s="42"/>
      <c r="AL180" s="42"/>
      <c r="AM180" s="42"/>
      <c r="AN180" s="37"/>
      <c r="AO180" s="26"/>
    </row>
    <row r="181" spans="1:41" ht="24.9" customHeight="1" x14ac:dyDescent="0.25">
      <c r="A181" s="46" t="str">
        <f t="shared" si="49"/>
        <v>Ok</v>
      </c>
      <c r="B181" s="36"/>
      <c r="C181" s="159">
        <v>45584</v>
      </c>
      <c r="D181" s="99" t="s">
        <v>749</v>
      </c>
      <c r="E181" s="167"/>
      <c r="F181" s="167">
        <v>32</v>
      </c>
      <c r="G181" s="118">
        <f t="shared" si="48"/>
        <v>7933.59</v>
      </c>
      <c r="H181" s="32"/>
      <c r="I181" s="13" t="s">
        <v>763</v>
      </c>
      <c r="J181" s="47"/>
      <c r="K181" s="43"/>
      <c r="L181" s="38"/>
      <c r="M181" s="71"/>
      <c r="N181" s="39"/>
      <c r="O181" s="39"/>
      <c r="P181" s="39"/>
      <c r="Q181" s="72"/>
      <c r="R181" s="44"/>
      <c r="S181" s="44"/>
      <c r="T181" s="44"/>
      <c r="U181" s="44"/>
      <c r="V181" s="40"/>
      <c r="W181" s="40"/>
      <c r="X181" s="45"/>
      <c r="Y181" s="45"/>
      <c r="Z181" s="45"/>
      <c r="AA181" s="45"/>
      <c r="AB181" s="41"/>
      <c r="AC181" s="41"/>
      <c r="AD181" s="41"/>
      <c r="AE181" s="41"/>
      <c r="AF181" s="41">
        <v>32</v>
      </c>
      <c r="AG181" s="41"/>
      <c r="AH181" s="42"/>
      <c r="AI181" s="42"/>
      <c r="AJ181" s="42"/>
      <c r="AK181" s="42"/>
      <c r="AL181" s="42"/>
      <c r="AM181" s="42"/>
      <c r="AN181" s="37"/>
      <c r="AO181" s="26"/>
    </row>
    <row r="182" spans="1:41" ht="31.2" customHeight="1" x14ac:dyDescent="0.25">
      <c r="A182" s="46" t="str">
        <f t="shared" si="49"/>
        <v>Ok</v>
      </c>
      <c r="B182" s="36"/>
      <c r="C182" s="159">
        <v>45580</v>
      </c>
      <c r="D182" s="99" t="s">
        <v>748</v>
      </c>
      <c r="E182" s="167">
        <v>2249</v>
      </c>
      <c r="F182" s="167"/>
      <c r="G182" s="118">
        <f t="shared" si="48"/>
        <v>7901.59</v>
      </c>
      <c r="H182" s="32"/>
      <c r="I182" s="13"/>
      <c r="J182" s="47"/>
      <c r="K182" s="43"/>
      <c r="L182" s="38"/>
      <c r="M182" s="71"/>
      <c r="N182" s="39"/>
      <c r="O182" s="39"/>
      <c r="P182" s="39"/>
      <c r="Q182" s="72"/>
      <c r="R182" s="44">
        <v>2249</v>
      </c>
      <c r="S182" s="44"/>
      <c r="T182" s="44"/>
      <c r="U182" s="44"/>
      <c r="V182" s="40"/>
      <c r="W182" s="40"/>
      <c r="X182" s="45"/>
      <c r="Y182" s="45"/>
      <c r="Z182" s="45"/>
      <c r="AA182" s="45"/>
      <c r="AB182" s="41"/>
      <c r="AC182" s="41"/>
      <c r="AD182" s="41"/>
      <c r="AE182" s="41"/>
      <c r="AF182" s="41"/>
      <c r="AG182" s="41"/>
      <c r="AH182" s="42"/>
      <c r="AI182" s="42"/>
      <c r="AJ182" s="42"/>
      <c r="AK182" s="42"/>
      <c r="AL182" s="42"/>
      <c r="AM182" s="42"/>
      <c r="AN182" s="37"/>
      <c r="AO182" s="26"/>
    </row>
    <row r="183" spans="1:41" ht="31.2" x14ac:dyDescent="0.25">
      <c r="A183" s="46" t="str">
        <f t="shared" si="49"/>
        <v>Ok</v>
      </c>
      <c r="B183" s="36"/>
      <c r="C183" s="159">
        <v>45573</v>
      </c>
      <c r="D183" s="99" t="s">
        <v>735</v>
      </c>
      <c r="E183" s="167"/>
      <c r="F183" s="167">
        <v>30</v>
      </c>
      <c r="G183" s="118">
        <f t="shared" si="48"/>
        <v>10150.59</v>
      </c>
      <c r="H183" s="32"/>
      <c r="I183" s="13" t="s">
        <v>767</v>
      </c>
      <c r="J183" s="47"/>
      <c r="K183" s="43"/>
      <c r="L183" s="38"/>
      <c r="M183" s="71"/>
      <c r="N183" s="39"/>
      <c r="O183" s="39"/>
      <c r="P183" s="39"/>
      <c r="Q183" s="72"/>
      <c r="R183" s="44"/>
      <c r="S183" s="44"/>
      <c r="T183" s="44"/>
      <c r="U183" s="44">
        <v>30</v>
      </c>
      <c r="V183" s="40"/>
      <c r="W183" s="40"/>
      <c r="X183" s="45"/>
      <c r="Y183" s="45"/>
      <c r="Z183" s="45"/>
      <c r="AA183" s="45"/>
      <c r="AB183" s="41"/>
      <c r="AC183" s="41"/>
      <c r="AD183" s="41"/>
      <c r="AE183" s="41"/>
      <c r="AF183" s="41"/>
      <c r="AG183" s="41"/>
      <c r="AH183" s="42"/>
      <c r="AI183" s="42"/>
      <c r="AJ183" s="42"/>
      <c r="AK183" s="42"/>
      <c r="AL183" s="42"/>
      <c r="AM183" s="42"/>
      <c r="AN183" s="37"/>
      <c r="AO183" s="26"/>
    </row>
    <row r="184" spans="1:41" ht="24.9" customHeight="1" x14ac:dyDescent="0.25">
      <c r="A184" s="46" t="str">
        <f t="shared" si="49"/>
        <v>Ok</v>
      </c>
      <c r="B184" s="36"/>
      <c r="C184" s="159">
        <v>45572</v>
      </c>
      <c r="D184" s="99" t="s">
        <v>759</v>
      </c>
      <c r="E184" s="167"/>
      <c r="F184" s="167">
        <v>22</v>
      </c>
      <c r="G184" s="118">
        <f t="shared" si="48"/>
        <v>10120.59</v>
      </c>
      <c r="H184" s="32"/>
      <c r="I184" s="13" t="s">
        <v>747</v>
      </c>
      <c r="J184" s="47"/>
      <c r="K184" s="43"/>
      <c r="L184" s="38"/>
      <c r="M184" s="71"/>
      <c r="N184" s="39"/>
      <c r="O184" s="39"/>
      <c r="P184" s="39"/>
      <c r="Q184" s="72"/>
      <c r="R184" s="44"/>
      <c r="S184" s="44">
        <v>22</v>
      </c>
      <c r="T184" s="44"/>
      <c r="U184" s="44"/>
      <c r="V184" s="40"/>
      <c r="W184" s="40"/>
      <c r="X184" s="45"/>
      <c r="Y184" s="45"/>
      <c r="Z184" s="45"/>
      <c r="AA184" s="45"/>
      <c r="AB184" s="41"/>
      <c r="AC184" s="41"/>
      <c r="AD184" s="41"/>
      <c r="AE184" s="41"/>
      <c r="AF184" s="41"/>
      <c r="AG184" s="41"/>
      <c r="AH184" s="42"/>
      <c r="AI184" s="42"/>
      <c r="AJ184" s="42"/>
      <c r="AK184" s="42"/>
      <c r="AL184" s="42"/>
      <c r="AM184" s="42"/>
      <c r="AN184" s="37"/>
      <c r="AO184" s="26"/>
    </row>
    <row r="185" spans="1:41" ht="24.9" customHeight="1" x14ac:dyDescent="0.25">
      <c r="A185" s="46" t="str">
        <f t="shared" si="49"/>
        <v>Ok</v>
      </c>
      <c r="B185" s="36"/>
      <c r="C185" s="159">
        <v>45568</v>
      </c>
      <c r="D185" s="99" t="s">
        <v>746</v>
      </c>
      <c r="E185" s="167">
        <v>244.48</v>
      </c>
      <c r="F185" s="167"/>
      <c r="G185" s="118">
        <f t="shared" si="48"/>
        <v>10098.59</v>
      </c>
      <c r="H185" s="32"/>
      <c r="I185" s="13" t="s">
        <v>653</v>
      </c>
      <c r="J185" s="47"/>
      <c r="K185" s="43"/>
      <c r="L185" s="38"/>
      <c r="M185" s="71"/>
      <c r="N185" s="39">
        <v>178.88</v>
      </c>
      <c r="O185" s="39">
        <v>65.599999999999994</v>
      </c>
      <c r="P185" s="39"/>
      <c r="Q185" s="72"/>
      <c r="R185" s="44"/>
      <c r="S185" s="44"/>
      <c r="T185" s="44"/>
      <c r="U185" s="44"/>
      <c r="V185" s="40"/>
      <c r="W185" s="40"/>
      <c r="X185" s="45"/>
      <c r="Y185" s="45"/>
      <c r="Z185" s="45"/>
      <c r="AA185" s="45"/>
      <c r="AB185" s="41"/>
      <c r="AC185" s="41"/>
      <c r="AD185" s="41"/>
      <c r="AE185" s="41"/>
      <c r="AF185" s="41"/>
      <c r="AG185" s="41"/>
      <c r="AH185" s="42"/>
      <c r="AI185" s="42"/>
      <c r="AJ185" s="42"/>
      <c r="AK185" s="42"/>
      <c r="AL185" s="42"/>
      <c r="AM185" s="42"/>
      <c r="AN185" s="37"/>
      <c r="AO185" s="26"/>
    </row>
    <row r="186" spans="1:41" ht="24.9" customHeight="1" x14ac:dyDescent="0.25">
      <c r="A186" s="46" t="str">
        <f t="shared" si="49"/>
        <v>Ok</v>
      </c>
      <c r="B186" s="36"/>
      <c r="C186" s="159">
        <v>45567</v>
      </c>
      <c r="D186" s="99" t="s">
        <v>745</v>
      </c>
      <c r="E186" s="167"/>
      <c r="F186" s="167">
        <v>348</v>
      </c>
      <c r="G186" s="118">
        <f t="shared" si="48"/>
        <v>10343.07</v>
      </c>
      <c r="H186" s="32"/>
      <c r="I186" s="13" t="s">
        <v>744</v>
      </c>
      <c r="J186" s="47"/>
      <c r="K186" s="43"/>
      <c r="L186" s="38"/>
      <c r="M186" s="71"/>
      <c r="N186" s="39"/>
      <c r="O186" s="39"/>
      <c r="P186" s="39"/>
      <c r="Q186" s="72"/>
      <c r="R186" s="44"/>
      <c r="S186" s="44">
        <f>2*75</f>
        <v>150</v>
      </c>
      <c r="T186" s="44">
        <f>110+88</f>
        <v>198</v>
      </c>
      <c r="U186" s="44"/>
      <c r="V186" s="40"/>
      <c r="W186" s="40"/>
      <c r="X186" s="45"/>
      <c r="Y186" s="45"/>
      <c r="Z186" s="45"/>
      <c r="AA186" s="45"/>
      <c r="AB186" s="41"/>
      <c r="AC186" s="41"/>
      <c r="AD186" s="41"/>
      <c r="AE186" s="41"/>
      <c r="AF186" s="41"/>
      <c r="AG186" s="41"/>
      <c r="AH186" s="42"/>
      <c r="AI186" s="42"/>
      <c r="AJ186" s="42"/>
      <c r="AK186" s="42"/>
      <c r="AL186" s="42"/>
      <c r="AM186" s="42"/>
      <c r="AN186" s="37"/>
      <c r="AO186" s="26"/>
    </row>
    <row r="187" spans="1:41" ht="24.9" customHeight="1" x14ac:dyDescent="0.25">
      <c r="A187" s="46" t="str">
        <f t="shared" si="49"/>
        <v>Ok</v>
      </c>
      <c r="B187" s="36"/>
      <c r="C187" s="159">
        <v>45566</v>
      </c>
      <c r="D187" s="73" t="s">
        <v>648</v>
      </c>
      <c r="E187" s="156"/>
      <c r="F187" s="156">
        <v>369</v>
      </c>
      <c r="G187" s="118">
        <f t="shared" ref="G187:G198" si="50">G188-E187+F187</f>
        <v>9995.07</v>
      </c>
      <c r="H187" s="32"/>
      <c r="I187" s="13" t="s">
        <v>718</v>
      </c>
      <c r="J187" s="47"/>
      <c r="K187" s="43"/>
      <c r="L187" s="38"/>
      <c r="M187" s="71"/>
      <c r="N187" s="39"/>
      <c r="O187" s="39"/>
      <c r="P187" s="39"/>
      <c r="Q187" s="72"/>
      <c r="R187" s="44"/>
      <c r="S187" s="44">
        <v>121</v>
      </c>
      <c r="T187" s="44">
        <v>198</v>
      </c>
      <c r="U187" s="44"/>
      <c r="V187" s="40">
        <v>50</v>
      </c>
      <c r="W187" s="40"/>
      <c r="X187" s="45"/>
      <c r="Y187" s="45"/>
      <c r="Z187" s="45"/>
      <c r="AA187" s="45"/>
      <c r="AB187" s="41"/>
      <c r="AC187" s="41"/>
      <c r="AD187" s="41"/>
      <c r="AE187" s="41"/>
      <c r="AF187" s="41"/>
      <c r="AG187" s="41"/>
      <c r="AH187" s="42"/>
      <c r="AI187" s="42"/>
      <c r="AJ187" s="42"/>
      <c r="AK187" s="42"/>
      <c r="AL187" s="42"/>
      <c r="AM187" s="42"/>
      <c r="AN187" s="37"/>
      <c r="AO187" s="26"/>
    </row>
    <row r="188" spans="1:41" ht="24.9" customHeight="1" x14ac:dyDescent="0.25">
      <c r="A188" s="46" t="str">
        <f t="shared" si="49"/>
        <v>Ok</v>
      </c>
      <c r="B188" s="36"/>
      <c r="C188" s="159">
        <v>45566</v>
      </c>
      <c r="D188" s="73" t="s">
        <v>648</v>
      </c>
      <c r="E188" s="156"/>
      <c r="F188" s="156">
        <v>20</v>
      </c>
      <c r="G188" s="118">
        <f t="shared" si="50"/>
        <v>9626.07</v>
      </c>
      <c r="H188" s="32"/>
      <c r="I188" s="13" t="s">
        <v>717</v>
      </c>
      <c r="J188" s="47"/>
      <c r="K188" s="43"/>
      <c r="L188" s="38"/>
      <c r="M188" s="71"/>
      <c r="N188" s="39"/>
      <c r="O188" s="39"/>
      <c r="P188" s="39"/>
      <c r="Q188" s="72"/>
      <c r="R188" s="44"/>
      <c r="S188" s="44"/>
      <c r="T188" s="44"/>
      <c r="U188" s="44"/>
      <c r="V188" s="40"/>
      <c r="W188" s="40"/>
      <c r="X188" s="45"/>
      <c r="Y188" s="45"/>
      <c r="Z188" s="45"/>
      <c r="AA188" s="45"/>
      <c r="AB188" s="41"/>
      <c r="AC188" s="41"/>
      <c r="AD188" s="41"/>
      <c r="AE188" s="41"/>
      <c r="AF188" s="41"/>
      <c r="AG188" s="41">
        <v>20</v>
      </c>
      <c r="AH188" s="42"/>
      <c r="AI188" s="42"/>
      <c r="AJ188" s="42"/>
      <c r="AK188" s="42"/>
      <c r="AL188" s="42"/>
      <c r="AM188" s="42"/>
      <c r="AN188" s="37"/>
      <c r="AO188" s="26"/>
    </row>
    <row r="189" spans="1:41" ht="24.9" customHeight="1" x14ac:dyDescent="0.25">
      <c r="A189" s="46" t="str">
        <f t="shared" si="49"/>
        <v>Ok</v>
      </c>
      <c r="B189" s="36"/>
      <c r="C189" s="159">
        <v>45566</v>
      </c>
      <c r="D189" s="73" t="s">
        <v>648</v>
      </c>
      <c r="E189" s="156"/>
      <c r="F189" s="156">
        <v>30</v>
      </c>
      <c r="G189" s="118">
        <f t="shared" si="50"/>
        <v>9606.07</v>
      </c>
      <c r="H189" s="32"/>
      <c r="I189" s="13" t="s">
        <v>692</v>
      </c>
      <c r="J189" s="47"/>
      <c r="K189" s="43"/>
      <c r="L189" s="38"/>
      <c r="M189" s="71"/>
      <c r="N189" s="39"/>
      <c r="O189" s="39"/>
      <c r="P189" s="39"/>
      <c r="Q189" s="72"/>
      <c r="R189" s="44"/>
      <c r="S189" s="44"/>
      <c r="T189" s="44"/>
      <c r="U189" s="44"/>
      <c r="V189" s="40"/>
      <c r="W189" s="40"/>
      <c r="X189" s="45"/>
      <c r="Y189" s="45"/>
      <c r="Z189" s="45"/>
      <c r="AA189" s="45"/>
      <c r="AB189" s="41"/>
      <c r="AC189" s="41"/>
      <c r="AD189" s="41"/>
      <c r="AE189" s="41"/>
      <c r="AF189" s="41"/>
      <c r="AG189" s="41">
        <v>30</v>
      </c>
      <c r="AH189" s="42"/>
      <c r="AI189" s="42"/>
      <c r="AJ189" s="42"/>
      <c r="AK189" s="42"/>
      <c r="AL189" s="42"/>
      <c r="AM189" s="42"/>
      <c r="AN189" s="37"/>
      <c r="AO189" s="26"/>
    </row>
    <row r="190" spans="1:41" ht="24.9" customHeight="1" x14ac:dyDescent="0.25">
      <c r="A190" s="46" t="str">
        <f t="shared" si="49"/>
        <v>Ok</v>
      </c>
      <c r="B190" s="36"/>
      <c r="C190" s="159">
        <v>45566</v>
      </c>
      <c r="D190" s="73" t="s">
        <v>648</v>
      </c>
      <c r="E190" s="156"/>
      <c r="F190" s="156">
        <v>177</v>
      </c>
      <c r="G190" s="118">
        <f t="shared" si="50"/>
        <v>9576.07</v>
      </c>
      <c r="H190" s="32"/>
      <c r="I190" s="13" t="s">
        <v>691</v>
      </c>
      <c r="J190" s="47"/>
      <c r="K190" s="43"/>
      <c r="L190" s="38"/>
      <c r="M190" s="71"/>
      <c r="N190" s="39"/>
      <c r="O190" s="39"/>
      <c r="P190" s="39"/>
      <c r="Q190" s="72"/>
      <c r="R190" s="44"/>
      <c r="S190" s="44">
        <v>67</v>
      </c>
      <c r="T190" s="44">
        <v>110</v>
      </c>
      <c r="U190" s="44"/>
      <c r="V190" s="40"/>
      <c r="W190" s="40"/>
      <c r="X190" s="45"/>
      <c r="Y190" s="45"/>
      <c r="Z190" s="45"/>
      <c r="AA190" s="45"/>
      <c r="AB190" s="41"/>
      <c r="AC190" s="41"/>
      <c r="AD190" s="41"/>
      <c r="AE190" s="41"/>
      <c r="AF190" s="41"/>
      <c r="AG190" s="41"/>
      <c r="AH190" s="42"/>
      <c r="AI190" s="42"/>
      <c r="AJ190" s="42"/>
      <c r="AK190" s="42"/>
      <c r="AL190" s="42"/>
      <c r="AM190" s="42"/>
      <c r="AN190" s="37"/>
      <c r="AO190" s="26"/>
    </row>
    <row r="191" spans="1:41" ht="24.9" customHeight="1" x14ac:dyDescent="0.25">
      <c r="A191" s="46" t="str">
        <f t="shared" si="49"/>
        <v>Ok</v>
      </c>
      <c r="B191" s="36"/>
      <c r="C191" s="159">
        <v>45566</v>
      </c>
      <c r="D191" s="73" t="s">
        <v>648</v>
      </c>
      <c r="E191" s="156"/>
      <c r="F191" s="156">
        <v>23</v>
      </c>
      <c r="G191" s="118">
        <f t="shared" si="50"/>
        <v>9399.07</v>
      </c>
      <c r="H191" s="32"/>
      <c r="I191" s="13" t="s">
        <v>690</v>
      </c>
      <c r="J191" s="47"/>
      <c r="K191" s="43"/>
      <c r="L191" s="38"/>
      <c r="M191" s="71"/>
      <c r="N191" s="39"/>
      <c r="O191" s="39"/>
      <c r="P191" s="39"/>
      <c r="Q191" s="72"/>
      <c r="R191" s="44"/>
      <c r="S191" s="44"/>
      <c r="T191" s="44"/>
      <c r="U191" s="44"/>
      <c r="V191" s="40"/>
      <c r="W191" s="40"/>
      <c r="X191" s="45"/>
      <c r="Y191" s="45"/>
      <c r="Z191" s="45"/>
      <c r="AA191" s="45"/>
      <c r="AB191" s="41"/>
      <c r="AC191" s="41"/>
      <c r="AD191" s="41"/>
      <c r="AE191" s="41"/>
      <c r="AF191" s="41"/>
      <c r="AG191" s="41">
        <v>23</v>
      </c>
      <c r="AH191" s="42"/>
      <c r="AI191" s="42"/>
      <c r="AJ191" s="42"/>
      <c r="AK191" s="42"/>
      <c r="AL191" s="42"/>
      <c r="AM191" s="42"/>
      <c r="AN191" s="37"/>
      <c r="AO191" s="26"/>
    </row>
    <row r="192" spans="1:41" ht="24.9" customHeight="1" x14ac:dyDescent="0.25">
      <c r="A192" s="46" t="str">
        <f t="shared" si="49"/>
        <v>Ok</v>
      </c>
      <c r="B192" s="36"/>
      <c r="C192" s="159">
        <v>45566</v>
      </c>
      <c r="D192" s="73" t="s">
        <v>648</v>
      </c>
      <c r="E192" s="156"/>
      <c r="F192" s="156">
        <v>110</v>
      </c>
      <c r="G192" s="118">
        <f t="shared" si="50"/>
        <v>9376.07</v>
      </c>
      <c r="H192" s="32"/>
      <c r="I192" s="13" t="s">
        <v>652</v>
      </c>
      <c r="J192" s="47"/>
      <c r="K192" s="43"/>
      <c r="L192" s="38"/>
      <c r="M192" s="71"/>
      <c r="N192" s="39"/>
      <c r="O192" s="39"/>
      <c r="P192" s="39"/>
      <c r="Q192" s="72"/>
      <c r="R192" s="44"/>
      <c r="S192" s="44">
        <v>75</v>
      </c>
      <c r="T192" s="44">
        <v>35</v>
      </c>
      <c r="U192" s="44"/>
      <c r="V192" s="40"/>
      <c r="W192" s="40"/>
      <c r="X192" s="45"/>
      <c r="Y192" s="45"/>
      <c r="Z192" s="45"/>
      <c r="AA192" s="45"/>
      <c r="AB192" s="41"/>
      <c r="AC192" s="41"/>
      <c r="AD192" s="41"/>
      <c r="AE192" s="41"/>
      <c r="AF192" s="41"/>
      <c r="AG192" s="41"/>
      <c r="AH192" s="42"/>
      <c r="AI192" s="42"/>
      <c r="AJ192" s="42"/>
      <c r="AK192" s="42"/>
      <c r="AL192" s="42"/>
      <c r="AM192" s="42"/>
      <c r="AN192" s="37"/>
      <c r="AO192" s="26"/>
    </row>
    <row r="193" spans="1:41" ht="24.9" customHeight="1" x14ac:dyDescent="0.25">
      <c r="A193" s="46" t="str">
        <f t="shared" si="49"/>
        <v>Ok</v>
      </c>
      <c r="B193" s="36"/>
      <c r="C193" s="159">
        <v>45566</v>
      </c>
      <c r="D193" s="73" t="s">
        <v>648</v>
      </c>
      <c r="E193" s="156"/>
      <c r="F193" s="156">
        <v>202</v>
      </c>
      <c r="G193" s="118">
        <f t="shared" si="50"/>
        <v>9266.07</v>
      </c>
      <c r="H193" s="32"/>
      <c r="I193" s="13" t="s">
        <v>651</v>
      </c>
      <c r="J193" s="47"/>
      <c r="K193" s="43"/>
      <c r="L193" s="38"/>
      <c r="M193" s="71"/>
      <c r="N193" s="39"/>
      <c r="O193" s="39"/>
      <c r="P193" s="39"/>
      <c r="Q193" s="72"/>
      <c r="R193" s="44"/>
      <c r="S193" s="44">
        <v>67</v>
      </c>
      <c r="T193" s="44">
        <v>110</v>
      </c>
      <c r="U193" s="44"/>
      <c r="V193" s="40">
        <v>25</v>
      </c>
      <c r="W193" s="40"/>
      <c r="X193" s="45"/>
      <c r="Y193" s="45"/>
      <c r="Z193" s="45"/>
      <c r="AA193" s="45"/>
      <c r="AB193" s="41"/>
      <c r="AC193" s="41"/>
      <c r="AD193" s="41"/>
      <c r="AE193" s="41"/>
      <c r="AF193" s="41"/>
      <c r="AG193" s="41"/>
      <c r="AH193" s="42"/>
      <c r="AI193" s="42"/>
      <c r="AJ193" s="42"/>
      <c r="AK193" s="42"/>
      <c r="AL193" s="42"/>
      <c r="AM193" s="42"/>
      <c r="AN193" s="37"/>
      <c r="AO193" s="26"/>
    </row>
    <row r="194" spans="1:41" ht="24.9" customHeight="1" x14ac:dyDescent="0.25">
      <c r="A194" s="46" t="str">
        <f t="shared" si="49"/>
        <v>Ok</v>
      </c>
      <c r="B194" s="36"/>
      <c r="C194" s="159">
        <v>45566</v>
      </c>
      <c r="D194" s="73" t="s">
        <v>648</v>
      </c>
      <c r="E194" s="156"/>
      <c r="F194" s="156">
        <v>78</v>
      </c>
      <c r="G194" s="118">
        <f t="shared" si="50"/>
        <v>9064.07</v>
      </c>
      <c r="H194" s="32"/>
      <c r="I194" s="13" t="s">
        <v>777</v>
      </c>
      <c r="J194" s="47"/>
      <c r="K194" s="43"/>
      <c r="L194" s="38"/>
      <c r="M194" s="71"/>
      <c r="N194" s="39"/>
      <c r="O194" s="39"/>
      <c r="P194" s="39"/>
      <c r="Q194" s="72"/>
      <c r="R194" s="44"/>
      <c r="S194" s="44">
        <v>67</v>
      </c>
      <c r="T194" s="44">
        <v>11</v>
      </c>
      <c r="U194" s="44"/>
      <c r="V194" s="40"/>
      <c r="W194" s="40"/>
      <c r="X194" s="45"/>
      <c r="Y194" s="45"/>
      <c r="Z194" s="45"/>
      <c r="AA194" s="45"/>
      <c r="AB194" s="41"/>
      <c r="AC194" s="41"/>
      <c r="AD194" s="41"/>
      <c r="AE194" s="41"/>
      <c r="AF194" s="41"/>
      <c r="AG194" s="41"/>
      <c r="AH194" s="42"/>
      <c r="AI194" s="42"/>
      <c r="AJ194" s="42"/>
      <c r="AK194" s="42"/>
      <c r="AL194" s="42"/>
      <c r="AM194" s="42"/>
      <c r="AN194" s="37"/>
      <c r="AO194" s="26"/>
    </row>
    <row r="195" spans="1:41" ht="24.9" customHeight="1" x14ac:dyDescent="0.25">
      <c r="A195" s="46" t="str">
        <f t="shared" si="49"/>
        <v>Ok</v>
      </c>
      <c r="B195" s="36"/>
      <c r="C195" s="159">
        <v>45566</v>
      </c>
      <c r="D195" s="73" t="s">
        <v>648</v>
      </c>
      <c r="E195" s="156"/>
      <c r="F195" s="156">
        <v>63</v>
      </c>
      <c r="G195" s="118">
        <f t="shared" si="50"/>
        <v>8986.07</v>
      </c>
      <c r="H195" s="32"/>
      <c r="I195" s="13" t="s">
        <v>650</v>
      </c>
      <c r="J195" s="47"/>
      <c r="K195" s="43"/>
      <c r="L195" s="38"/>
      <c r="M195" s="71"/>
      <c r="N195" s="39"/>
      <c r="O195" s="39"/>
      <c r="P195" s="39"/>
      <c r="Q195" s="72"/>
      <c r="R195" s="44"/>
      <c r="S195" s="44">
        <v>63</v>
      </c>
      <c r="T195" s="44"/>
      <c r="U195" s="44"/>
      <c r="V195" s="40"/>
      <c r="W195" s="40"/>
      <c r="X195" s="45"/>
      <c r="Y195" s="45"/>
      <c r="Z195" s="45"/>
      <c r="AA195" s="45"/>
      <c r="AB195" s="41"/>
      <c r="AC195" s="41"/>
      <c r="AD195" s="41"/>
      <c r="AE195" s="41"/>
      <c r="AF195" s="41"/>
      <c r="AG195" s="41"/>
      <c r="AH195" s="42"/>
      <c r="AI195" s="42"/>
      <c r="AJ195" s="42"/>
      <c r="AK195" s="42"/>
      <c r="AL195" s="42"/>
      <c r="AM195" s="42"/>
      <c r="AN195" s="37"/>
      <c r="AO195" s="26"/>
    </row>
    <row r="196" spans="1:41" ht="24.9" customHeight="1" x14ac:dyDescent="0.25">
      <c r="A196" s="46" t="str">
        <f t="shared" si="49"/>
        <v>Ok</v>
      </c>
      <c r="B196" s="36"/>
      <c r="C196" s="159">
        <v>45566</v>
      </c>
      <c r="D196" s="73" t="s">
        <v>648</v>
      </c>
      <c r="E196" s="156"/>
      <c r="F196" s="156">
        <v>70</v>
      </c>
      <c r="G196" s="118">
        <f t="shared" si="50"/>
        <v>8923.07</v>
      </c>
      <c r="H196" s="32"/>
      <c r="I196" s="13" t="s">
        <v>649</v>
      </c>
      <c r="J196" s="47"/>
      <c r="K196" s="43"/>
      <c r="L196" s="38"/>
      <c r="M196" s="71"/>
      <c r="N196" s="39"/>
      <c r="O196" s="39"/>
      <c r="P196" s="39"/>
      <c r="Q196" s="72"/>
      <c r="R196" s="44"/>
      <c r="S196" s="44">
        <v>70</v>
      </c>
      <c r="T196" s="44"/>
      <c r="U196" s="44"/>
      <c r="V196" s="40"/>
      <c r="W196" s="40"/>
      <c r="X196" s="45"/>
      <c r="Y196" s="45"/>
      <c r="Z196" s="45"/>
      <c r="AA196" s="45"/>
      <c r="AB196" s="41"/>
      <c r="AC196" s="41"/>
      <c r="AD196" s="41"/>
      <c r="AE196" s="41"/>
      <c r="AF196" s="41"/>
      <c r="AG196" s="41"/>
      <c r="AH196" s="42"/>
      <c r="AI196" s="42"/>
      <c r="AJ196" s="42"/>
      <c r="AK196" s="42"/>
      <c r="AL196" s="42"/>
      <c r="AM196" s="42"/>
      <c r="AN196" s="37"/>
      <c r="AO196" s="26"/>
    </row>
    <row r="197" spans="1:41" ht="24.9" customHeight="1" x14ac:dyDescent="0.25">
      <c r="A197" s="46" t="str">
        <f t="shared" si="49"/>
        <v>Ok</v>
      </c>
      <c r="B197" s="36"/>
      <c r="C197" s="159">
        <v>45566</v>
      </c>
      <c r="D197" s="73" t="s">
        <v>648</v>
      </c>
      <c r="E197" s="156"/>
      <c r="F197" s="156">
        <v>163</v>
      </c>
      <c r="G197" s="118">
        <f t="shared" si="50"/>
        <v>8853.07</v>
      </c>
      <c r="H197" s="32"/>
      <c r="I197" s="13" t="s">
        <v>654</v>
      </c>
      <c r="J197" s="47"/>
      <c r="K197" s="43"/>
      <c r="L197" s="38"/>
      <c r="M197" s="71"/>
      <c r="N197" s="39"/>
      <c r="O197" s="39"/>
      <c r="P197" s="39"/>
      <c r="Q197" s="72"/>
      <c r="R197" s="44"/>
      <c r="S197" s="44">
        <v>46</v>
      </c>
      <c r="T197" s="44">
        <v>110</v>
      </c>
      <c r="U197" s="44"/>
      <c r="V197" s="40"/>
      <c r="W197" s="40"/>
      <c r="X197" s="45"/>
      <c r="Y197" s="45"/>
      <c r="Z197" s="45"/>
      <c r="AA197" s="45"/>
      <c r="AB197" s="41"/>
      <c r="AC197" s="41"/>
      <c r="AD197" s="41"/>
      <c r="AE197" s="41"/>
      <c r="AF197" s="41"/>
      <c r="AG197" s="41">
        <v>7</v>
      </c>
      <c r="AH197" s="42"/>
      <c r="AI197" s="42"/>
      <c r="AJ197" s="42"/>
      <c r="AK197" s="42"/>
      <c r="AL197" s="42"/>
      <c r="AM197" s="42"/>
      <c r="AN197" s="37"/>
      <c r="AO197" s="26"/>
    </row>
    <row r="198" spans="1:41" ht="24.9" customHeight="1" x14ac:dyDescent="0.25">
      <c r="A198" s="46" t="str">
        <f t="shared" si="49"/>
        <v>Ok</v>
      </c>
      <c r="B198" s="36"/>
      <c r="C198" s="159">
        <v>45565</v>
      </c>
      <c r="D198" s="99" t="s">
        <v>741</v>
      </c>
      <c r="E198" s="167"/>
      <c r="F198" s="167">
        <v>84</v>
      </c>
      <c r="G198" s="118">
        <f t="shared" si="50"/>
        <v>8690.07</v>
      </c>
      <c r="H198" s="32"/>
      <c r="I198" s="13" t="s">
        <v>740</v>
      </c>
      <c r="J198" s="47"/>
      <c r="K198" s="43"/>
      <c r="L198" s="38"/>
      <c r="M198" s="71"/>
      <c r="N198" s="39"/>
      <c r="O198" s="39"/>
      <c r="P198" s="39"/>
      <c r="Q198" s="72"/>
      <c r="R198" s="44"/>
      <c r="S198" s="44">
        <v>46</v>
      </c>
      <c r="T198" s="44">
        <v>38</v>
      </c>
      <c r="U198" s="44"/>
      <c r="V198" s="40"/>
      <c r="W198" s="40"/>
      <c r="X198" s="45"/>
      <c r="Y198" s="45"/>
      <c r="Z198" s="45"/>
      <c r="AA198" s="45"/>
      <c r="AB198" s="41"/>
      <c r="AC198" s="41"/>
      <c r="AD198" s="41"/>
      <c r="AE198" s="41"/>
      <c r="AF198" s="41"/>
      <c r="AG198" s="41"/>
      <c r="AH198" s="42"/>
      <c r="AI198" s="42"/>
      <c r="AJ198" s="42"/>
      <c r="AK198" s="42"/>
      <c r="AL198" s="42"/>
      <c r="AM198" s="42"/>
      <c r="AN198" s="37"/>
      <c r="AO198" s="26"/>
    </row>
    <row r="199" spans="1:41" ht="24.9" customHeight="1" x14ac:dyDescent="0.25">
      <c r="A199" s="46" t="str">
        <f t="shared" si="49"/>
        <v>Ok</v>
      </c>
      <c r="B199" s="36"/>
      <c r="C199" s="159">
        <v>45565</v>
      </c>
      <c r="D199" s="99" t="s">
        <v>742</v>
      </c>
      <c r="E199" s="167"/>
      <c r="F199" s="167">
        <v>185</v>
      </c>
      <c r="G199" s="118">
        <f t="shared" ref="G199:G201" si="51">G200-E199+F199</f>
        <v>8606.07</v>
      </c>
      <c r="H199" s="32"/>
      <c r="I199" s="13" t="s">
        <v>739</v>
      </c>
      <c r="J199" s="47"/>
      <c r="K199" s="43"/>
      <c r="L199" s="38"/>
      <c r="M199" s="71"/>
      <c r="N199" s="39"/>
      <c r="O199" s="39"/>
      <c r="P199" s="39"/>
      <c r="Q199" s="72"/>
      <c r="R199" s="44"/>
      <c r="S199" s="44">
        <v>75</v>
      </c>
      <c r="T199" s="44">
        <v>110</v>
      </c>
      <c r="U199" s="44"/>
      <c r="V199" s="40"/>
      <c r="W199" s="40"/>
      <c r="X199" s="45"/>
      <c r="Y199" s="45"/>
      <c r="Z199" s="45"/>
      <c r="AA199" s="45"/>
      <c r="AB199" s="41"/>
      <c r="AC199" s="41"/>
      <c r="AD199" s="41"/>
      <c r="AE199" s="41"/>
      <c r="AF199" s="41"/>
      <c r="AG199" s="41"/>
      <c r="AH199" s="42"/>
      <c r="AI199" s="42"/>
      <c r="AJ199" s="42"/>
      <c r="AK199" s="42"/>
      <c r="AL199" s="42"/>
      <c r="AM199" s="42"/>
      <c r="AN199" s="37"/>
      <c r="AO199" s="26"/>
    </row>
    <row r="200" spans="1:41" ht="24.9" customHeight="1" x14ac:dyDescent="0.25">
      <c r="A200" s="46" t="str">
        <f t="shared" si="49"/>
        <v>Ok</v>
      </c>
      <c r="B200" s="36"/>
      <c r="C200" s="159">
        <v>45564</v>
      </c>
      <c r="D200" s="99" t="s">
        <v>738</v>
      </c>
      <c r="E200" s="167"/>
      <c r="F200" s="167">
        <v>200</v>
      </c>
      <c r="G200" s="118">
        <f t="shared" si="51"/>
        <v>8421.07</v>
      </c>
      <c r="H200" s="32"/>
      <c r="I200" s="13" t="s">
        <v>737</v>
      </c>
      <c r="J200" s="47"/>
      <c r="K200" s="43"/>
      <c r="L200" s="38"/>
      <c r="M200" s="71"/>
      <c r="N200" s="39"/>
      <c r="O200" s="39"/>
      <c r="P200" s="39"/>
      <c r="Q200" s="72"/>
      <c r="R200" s="44"/>
      <c r="S200" s="44"/>
      <c r="T200" s="44">
        <v>200</v>
      </c>
      <c r="U200" s="44"/>
      <c r="V200" s="40"/>
      <c r="W200" s="40"/>
      <c r="X200" s="45"/>
      <c r="Y200" s="45"/>
      <c r="Z200" s="45"/>
      <c r="AA200" s="45"/>
      <c r="AB200" s="41"/>
      <c r="AC200" s="41"/>
      <c r="AD200" s="41"/>
      <c r="AE200" s="41"/>
      <c r="AF200" s="41"/>
      <c r="AG200" s="41"/>
      <c r="AH200" s="42"/>
      <c r="AI200" s="42"/>
      <c r="AJ200" s="42"/>
      <c r="AK200" s="42"/>
      <c r="AL200" s="42"/>
      <c r="AM200" s="42"/>
      <c r="AN200" s="37"/>
      <c r="AO200" s="26"/>
    </row>
    <row r="201" spans="1:41" ht="24.9" customHeight="1" x14ac:dyDescent="0.25">
      <c r="A201" s="46" t="str">
        <f t="shared" si="49"/>
        <v>Ok</v>
      </c>
      <c r="B201" s="36"/>
      <c r="C201" s="159">
        <v>45564</v>
      </c>
      <c r="D201" s="99" t="s">
        <v>736</v>
      </c>
      <c r="E201" s="167"/>
      <c r="F201" s="167">
        <v>238</v>
      </c>
      <c r="G201" s="118">
        <f t="shared" si="51"/>
        <v>8221.07</v>
      </c>
      <c r="H201" s="32"/>
      <c r="I201" s="13" t="s">
        <v>743</v>
      </c>
      <c r="J201" s="47"/>
      <c r="K201" s="43"/>
      <c r="L201" s="38"/>
      <c r="M201" s="71"/>
      <c r="N201" s="39"/>
      <c r="O201" s="39"/>
      <c r="P201" s="39"/>
      <c r="Q201" s="72"/>
      <c r="R201" s="44"/>
      <c r="S201" s="44">
        <f>2*75</f>
        <v>150</v>
      </c>
      <c r="T201" s="44">
        <v>88</v>
      </c>
      <c r="U201" s="44"/>
      <c r="V201" s="40"/>
      <c r="W201" s="40"/>
      <c r="X201" s="45"/>
      <c r="Y201" s="45"/>
      <c r="Z201" s="45"/>
      <c r="AA201" s="45"/>
      <c r="AB201" s="41"/>
      <c r="AC201" s="41"/>
      <c r="AD201" s="41"/>
      <c r="AE201" s="41"/>
      <c r="AF201" s="41"/>
      <c r="AG201" s="41"/>
      <c r="AH201" s="42"/>
      <c r="AI201" s="42"/>
      <c r="AJ201" s="42"/>
      <c r="AK201" s="42"/>
      <c r="AL201" s="42"/>
      <c r="AM201" s="42"/>
      <c r="AN201" s="37"/>
      <c r="AO201" s="26"/>
    </row>
    <row r="202" spans="1:41" ht="24.9" customHeight="1" x14ac:dyDescent="0.25">
      <c r="A202" s="46" t="str">
        <f t="shared" si="49"/>
        <v>Ok</v>
      </c>
      <c r="B202" s="36"/>
      <c r="C202" s="159">
        <v>45562</v>
      </c>
      <c r="D202" s="99" t="s">
        <v>758</v>
      </c>
      <c r="E202" s="167"/>
      <c r="F202" s="167">
        <v>210</v>
      </c>
      <c r="G202" s="118">
        <f t="shared" ref="G202:G205" si="52">G203-E202+F202</f>
        <v>7983.07</v>
      </c>
      <c r="H202" s="32"/>
      <c r="I202" s="221" t="s">
        <v>822</v>
      </c>
      <c r="J202" s="47"/>
      <c r="K202" s="43"/>
      <c r="L202" s="38"/>
      <c r="M202" s="71"/>
      <c r="N202" s="39"/>
      <c r="O202" s="39"/>
      <c r="P202" s="39"/>
      <c r="Q202" s="72"/>
      <c r="R202" s="44"/>
      <c r="S202" s="44">
        <v>46</v>
      </c>
      <c r="T202" s="44">
        <v>110</v>
      </c>
      <c r="U202" s="44"/>
      <c r="V202" s="40">
        <v>25</v>
      </c>
      <c r="W202" s="40"/>
      <c r="X202" s="45"/>
      <c r="Y202" s="45"/>
      <c r="Z202" s="45"/>
      <c r="AA202" s="45"/>
      <c r="AB202" s="41"/>
      <c r="AC202" s="41"/>
      <c r="AD202" s="41"/>
      <c r="AE202" s="41"/>
      <c r="AF202" s="41">
        <v>29</v>
      </c>
      <c r="AG202" s="41"/>
      <c r="AH202" s="42"/>
      <c r="AI202" s="42"/>
      <c r="AJ202" s="42"/>
      <c r="AK202" s="42"/>
      <c r="AL202" s="42"/>
      <c r="AM202" s="42"/>
      <c r="AN202" s="37"/>
      <c r="AO202" s="26"/>
    </row>
    <row r="203" spans="1:41" ht="24.9" customHeight="1" x14ac:dyDescent="0.25">
      <c r="A203" s="46" t="str">
        <f t="shared" si="49"/>
        <v>Ok</v>
      </c>
      <c r="B203" s="36"/>
      <c r="C203" s="159">
        <v>45561</v>
      </c>
      <c r="D203" s="99" t="s">
        <v>751</v>
      </c>
      <c r="E203" s="167"/>
      <c r="F203" s="167">
        <v>159</v>
      </c>
      <c r="G203" s="118">
        <f t="shared" si="52"/>
        <v>7773.07</v>
      </c>
      <c r="H203" s="32"/>
      <c r="I203" s="13" t="s">
        <v>757</v>
      </c>
      <c r="J203" s="47"/>
      <c r="K203" s="43"/>
      <c r="L203" s="38"/>
      <c r="M203" s="71"/>
      <c r="N203" s="39"/>
      <c r="O203" s="39"/>
      <c r="P203" s="39"/>
      <c r="Q203" s="72"/>
      <c r="R203" s="44"/>
      <c r="S203" s="44">
        <v>46</v>
      </c>
      <c r="T203" s="44">
        <v>88</v>
      </c>
      <c r="U203" s="44"/>
      <c r="V203" s="40">
        <v>25</v>
      </c>
      <c r="W203" s="40"/>
      <c r="X203" s="45"/>
      <c r="Y203" s="45"/>
      <c r="Z203" s="45"/>
      <c r="AA203" s="45"/>
      <c r="AB203" s="41"/>
      <c r="AC203" s="41"/>
      <c r="AD203" s="41"/>
      <c r="AE203" s="41"/>
      <c r="AF203" s="41"/>
      <c r="AG203" s="41"/>
      <c r="AH203" s="42"/>
      <c r="AI203" s="42"/>
      <c r="AJ203" s="42"/>
      <c r="AK203" s="42"/>
      <c r="AL203" s="42"/>
      <c r="AM203" s="42"/>
      <c r="AN203" s="37"/>
      <c r="AO203" s="26"/>
    </row>
    <row r="204" spans="1:41" ht="24.9" customHeight="1" x14ac:dyDescent="0.25">
      <c r="A204" s="46" t="str">
        <f t="shared" si="49"/>
        <v>Ok</v>
      </c>
      <c r="B204" s="36"/>
      <c r="C204" s="159">
        <v>45560</v>
      </c>
      <c r="D204" s="99" t="s">
        <v>755</v>
      </c>
      <c r="E204" s="167"/>
      <c r="F204" s="167">
        <v>210</v>
      </c>
      <c r="G204" s="118">
        <f t="shared" si="52"/>
        <v>7614.07</v>
      </c>
      <c r="H204" s="32"/>
      <c r="I204" s="13" t="s">
        <v>756</v>
      </c>
      <c r="J204" s="47"/>
      <c r="K204" s="43"/>
      <c r="L204" s="38"/>
      <c r="M204" s="71"/>
      <c r="N204" s="39"/>
      <c r="O204" s="39"/>
      <c r="P204" s="39"/>
      <c r="Q204" s="72"/>
      <c r="R204" s="44"/>
      <c r="S204" s="44">
        <v>75</v>
      </c>
      <c r="T204" s="44">
        <v>110</v>
      </c>
      <c r="U204" s="44"/>
      <c r="V204" s="40">
        <v>25</v>
      </c>
      <c r="W204" s="40"/>
      <c r="X204" s="45"/>
      <c r="Y204" s="45"/>
      <c r="Z204" s="45"/>
      <c r="AA204" s="45"/>
      <c r="AB204" s="41"/>
      <c r="AC204" s="41"/>
      <c r="AD204" s="41"/>
      <c r="AE204" s="41"/>
      <c r="AF204" s="41"/>
      <c r="AG204" s="41"/>
      <c r="AH204" s="42"/>
      <c r="AI204" s="42"/>
      <c r="AJ204" s="42"/>
      <c r="AK204" s="42"/>
      <c r="AL204" s="42"/>
      <c r="AM204" s="42"/>
      <c r="AN204" s="37"/>
      <c r="AO204" s="26"/>
    </row>
    <row r="205" spans="1:41" ht="24.9" customHeight="1" x14ac:dyDescent="0.25">
      <c r="A205" s="46" t="str">
        <f t="shared" si="49"/>
        <v>Ok</v>
      </c>
      <c r="B205" s="36"/>
      <c r="C205" s="159">
        <v>45558</v>
      </c>
      <c r="D205" s="99" t="s">
        <v>754</v>
      </c>
      <c r="E205" s="167"/>
      <c r="F205" s="167">
        <v>30</v>
      </c>
      <c r="G205" s="118">
        <f t="shared" si="52"/>
        <v>7404.07</v>
      </c>
      <c r="H205" s="32"/>
      <c r="I205" s="13" t="s">
        <v>753</v>
      </c>
      <c r="J205" s="47"/>
      <c r="K205" s="43"/>
      <c r="L205" s="38"/>
      <c r="M205" s="71"/>
      <c r="N205" s="39"/>
      <c r="O205" s="39"/>
      <c r="P205" s="39"/>
      <c r="Q205" s="72"/>
      <c r="R205" s="44"/>
      <c r="S205" s="44"/>
      <c r="T205" s="44"/>
      <c r="U205" s="44"/>
      <c r="V205" s="40"/>
      <c r="W205" s="40"/>
      <c r="X205" s="45"/>
      <c r="Y205" s="45"/>
      <c r="Z205" s="45"/>
      <c r="AA205" s="45"/>
      <c r="AB205" s="41"/>
      <c r="AC205" s="41"/>
      <c r="AD205" s="41"/>
      <c r="AE205" s="41"/>
      <c r="AF205" s="41"/>
      <c r="AG205" s="41">
        <v>30</v>
      </c>
      <c r="AH205" s="42"/>
      <c r="AI205" s="42"/>
      <c r="AJ205" s="42"/>
      <c r="AK205" s="42"/>
      <c r="AL205" s="42"/>
      <c r="AM205" s="42"/>
      <c r="AN205" s="37"/>
      <c r="AO205" s="26"/>
    </row>
    <row r="206" spans="1:41" ht="24.9" customHeight="1" x14ac:dyDescent="0.3">
      <c r="A206" s="46" t="str">
        <f t="shared" si="49"/>
        <v>Ok</v>
      </c>
      <c r="B206" s="36"/>
      <c r="C206" s="158">
        <v>45556</v>
      </c>
      <c r="D206" s="73" t="s">
        <v>596</v>
      </c>
      <c r="E206" s="156"/>
      <c r="F206" s="156">
        <v>210</v>
      </c>
      <c r="G206" s="118">
        <f t="shared" ref="G206:G217" si="53">G207-E206+F206</f>
        <v>7374.07</v>
      </c>
      <c r="H206" s="32"/>
      <c r="I206" s="13" t="s">
        <v>595</v>
      </c>
      <c r="J206" s="47"/>
      <c r="K206" s="43"/>
      <c r="L206" s="38"/>
      <c r="M206" s="71"/>
      <c r="N206" s="39"/>
      <c r="O206" s="39"/>
      <c r="P206" s="39"/>
      <c r="Q206" s="72"/>
      <c r="R206" s="44"/>
      <c r="S206" s="44">
        <v>75</v>
      </c>
      <c r="T206" s="44">
        <v>110</v>
      </c>
      <c r="U206" s="44"/>
      <c r="V206" s="40">
        <v>25</v>
      </c>
      <c r="W206" s="40"/>
      <c r="X206" s="45"/>
      <c r="Y206" s="45"/>
      <c r="Z206" s="45"/>
      <c r="AA206" s="45"/>
      <c r="AB206" s="41"/>
      <c r="AC206" s="41"/>
      <c r="AD206" s="41"/>
      <c r="AE206" s="41"/>
      <c r="AF206" s="41"/>
      <c r="AG206" s="41"/>
      <c r="AH206" s="42"/>
      <c r="AI206" s="42"/>
      <c r="AJ206" s="42"/>
      <c r="AK206" s="42"/>
      <c r="AL206" s="42"/>
      <c r="AM206" s="42"/>
      <c r="AN206" s="37"/>
      <c r="AO206" s="26"/>
    </row>
    <row r="207" spans="1:41" ht="24.9" customHeight="1" x14ac:dyDescent="0.3">
      <c r="A207" s="46" t="str">
        <f t="shared" si="49"/>
        <v>Ok</v>
      </c>
      <c r="B207" s="36"/>
      <c r="C207" s="158">
        <v>45556</v>
      </c>
      <c r="D207" s="73" t="s">
        <v>596</v>
      </c>
      <c r="E207" s="156"/>
      <c r="F207" s="156">
        <v>185</v>
      </c>
      <c r="G207" s="118">
        <f t="shared" si="53"/>
        <v>7164.07</v>
      </c>
      <c r="H207" s="32"/>
      <c r="I207" s="13" t="s">
        <v>583</v>
      </c>
      <c r="J207" s="47"/>
      <c r="K207" s="43"/>
      <c r="L207" s="38"/>
      <c r="M207" s="71"/>
      <c r="N207" s="39"/>
      <c r="O207" s="39"/>
      <c r="P207" s="39"/>
      <c r="Q207" s="72"/>
      <c r="R207" s="44"/>
      <c r="S207" s="44">
        <v>75</v>
      </c>
      <c r="T207" s="44">
        <v>110</v>
      </c>
      <c r="U207" s="44"/>
      <c r="V207" s="40"/>
      <c r="W207" s="40"/>
      <c r="X207" s="45"/>
      <c r="Y207" s="45"/>
      <c r="Z207" s="45"/>
      <c r="AA207" s="45"/>
      <c r="AB207" s="41"/>
      <c r="AC207" s="41"/>
      <c r="AD207" s="41"/>
      <c r="AE207" s="41"/>
      <c r="AF207" s="41"/>
      <c r="AG207" s="41"/>
      <c r="AH207" s="42"/>
      <c r="AI207" s="42"/>
      <c r="AJ207" s="42"/>
      <c r="AK207" s="42"/>
      <c r="AL207" s="42"/>
      <c r="AM207" s="42"/>
      <c r="AN207" s="37"/>
      <c r="AO207" s="26"/>
    </row>
    <row r="208" spans="1:41" ht="24.9" customHeight="1" x14ac:dyDescent="0.3">
      <c r="A208" s="46" t="str">
        <f t="shared" si="49"/>
        <v>Ok</v>
      </c>
      <c r="B208" s="36"/>
      <c r="C208" s="158">
        <v>45556</v>
      </c>
      <c r="D208" s="73" t="s">
        <v>596</v>
      </c>
      <c r="E208" s="156"/>
      <c r="F208" s="156">
        <v>210</v>
      </c>
      <c r="G208" s="118">
        <f t="shared" si="53"/>
        <v>6979.07</v>
      </c>
      <c r="H208" s="32"/>
      <c r="I208" s="13" t="s">
        <v>582</v>
      </c>
      <c r="J208" s="47"/>
      <c r="K208" s="43"/>
      <c r="L208" s="38"/>
      <c r="M208" s="71"/>
      <c r="N208" s="39"/>
      <c r="O208" s="39"/>
      <c r="P208" s="39"/>
      <c r="Q208" s="72"/>
      <c r="R208" s="44"/>
      <c r="S208" s="44">
        <v>75</v>
      </c>
      <c r="T208" s="44">
        <v>110</v>
      </c>
      <c r="U208" s="44"/>
      <c r="V208" s="40">
        <v>25</v>
      </c>
      <c r="W208" s="40"/>
      <c r="X208" s="45"/>
      <c r="Y208" s="45"/>
      <c r="Z208" s="45"/>
      <c r="AA208" s="45"/>
      <c r="AB208" s="41"/>
      <c r="AC208" s="41"/>
      <c r="AD208" s="41"/>
      <c r="AE208" s="41"/>
      <c r="AF208" s="41"/>
      <c r="AG208" s="41"/>
      <c r="AH208" s="42"/>
      <c r="AI208" s="42"/>
      <c r="AJ208" s="42"/>
      <c r="AK208" s="42"/>
      <c r="AL208" s="42"/>
      <c r="AM208" s="42"/>
      <c r="AN208" s="37"/>
      <c r="AO208" s="26"/>
    </row>
    <row r="209" spans="1:41" ht="24.9" customHeight="1" x14ac:dyDescent="0.3">
      <c r="A209" s="46" t="str">
        <f t="shared" si="49"/>
        <v>Ok</v>
      </c>
      <c r="B209" s="36"/>
      <c r="C209" s="158">
        <v>45556</v>
      </c>
      <c r="D209" s="73" t="s">
        <v>596</v>
      </c>
      <c r="E209" s="156"/>
      <c r="F209" s="156">
        <v>311</v>
      </c>
      <c r="G209" s="118">
        <f t="shared" si="53"/>
        <v>6769.07</v>
      </c>
      <c r="H209" s="32"/>
      <c r="I209" s="13" t="s">
        <v>581</v>
      </c>
      <c r="J209" s="47" t="s">
        <v>98</v>
      </c>
      <c r="K209" s="43"/>
      <c r="L209" s="38"/>
      <c r="M209" s="71"/>
      <c r="N209" s="39"/>
      <c r="O209" s="39"/>
      <c r="P209" s="39"/>
      <c r="Q209" s="72"/>
      <c r="R209" s="44"/>
      <c r="S209" s="44">
        <f>67+46</f>
        <v>113</v>
      </c>
      <c r="T209" s="44">
        <f>110+88</f>
        <v>198</v>
      </c>
      <c r="U209" s="44"/>
      <c r="V209" s="40"/>
      <c r="W209" s="40"/>
      <c r="X209" s="45"/>
      <c r="Y209" s="45"/>
      <c r="Z209" s="45"/>
      <c r="AA209" s="45"/>
      <c r="AB209" s="41"/>
      <c r="AC209" s="41"/>
      <c r="AD209" s="41"/>
      <c r="AE209" s="41"/>
      <c r="AF209" s="41"/>
      <c r="AG209" s="41"/>
      <c r="AH209" s="42"/>
      <c r="AI209" s="42"/>
      <c r="AJ209" s="42"/>
      <c r="AK209" s="42"/>
      <c r="AL209" s="42"/>
      <c r="AM209" s="42"/>
      <c r="AN209" s="37"/>
      <c r="AO209" s="26"/>
    </row>
    <row r="210" spans="1:41" ht="24.9" customHeight="1" x14ac:dyDescent="0.3">
      <c r="A210" s="46" t="str">
        <f t="shared" si="49"/>
        <v>Ok</v>
      </c>
      <c r="B210" s="36"/>
      <c r="C210" s="158">
        <v>45556</v>
      </c>
      <c r="D210" s="73" t="s">
        <v>596</v>
      </c>
      <c r="E210" s="156"/>
      <c r="F210" s="156">
        <v>181</v>
      </c>
      <c r="G210" s="118">
        <f t="shared" si="53"/>
        <v>6458.07</v>
      </c>
      <c r="H210" s="32"/>
      <c r="I210" s="13" t="s">
        <v>580</v>
      </c>
      <c r="J210" s="47" t="s">
        <v>98</v>
      </c>
      <c r="K210" s="43"/>
      <c r="L210" s="38"/>
      <c r="M210" s="71"/>
      <c r="N210" s="39"/>
      <c r="O210" s="39"/>
      <c r="P210" s="39"/>
      <c r="Q210" s="72"/>
      <c r="R210" s="44"/>
      <c r="S210" s="44">
        <v>46</v>
      </c>
      <c r="T210" s="44">
        <v>80</v>
      </c>
      <c r="U210" s="44"/>
      <c r="V210" s="40">
        <v>25</v>
      </c>
      <c r="W210" s="40"/>
      <c r="X210" s="45"/>
      <c r="Y210" s="45"/>
      <c r="Z210" s="45"/>
      <c r="AA210" s="45"/>
      <c r="AB210" s="41"/>
      <c r="AC210" s="41"/>
      <c r="AD210" s="41"/>
      <c r="AE210" s="41"/>
      <c r="AF210" s="41"/>
      <c r="AG210" s="41">
        <v>30</v>
      </c>
      <c r="AH210" s="42"/>
      <c r="AI210" s="42"/>
      <c r="AJ210" s="42"/>
      <c r="AK210" s="42"/>
      <c r="AL210" s="42"/>
      <c r="AM210" s="42"/>
      <c r="AN210" s="37"/>
      <c r="AO210" s="26"/>
    </row>
    <row r="211" spans="1:41" ht="24.9" customHeight="1" x14ac:dyDescent="0.3">
      <c r="A211" s="46" t="str">
        <f t="shared" si="49"/>
        <v>Ok</v>
      </c>
      <c r="B211" s="36"/>
      <c r="C211" s="158">
        <v>45556</v>
      </c>
      <c r="D211" s="73" t="s">
        <v>596</v>
      </c>
      <c r="E211" s="156"/>
      <c r="F211" s="156">
        <v>56</v>
      </c>
      <c r="G211" s="118">
        <f t="shared" si="53"/>
        <v>6277.07</v>
      </c>
      <c r="H211" s="32"/>
      <c r="I211" s="13" t="s">
        <v>244</v>
      </c>
      <c r="J211" s="47" t="s">
        <v>98</v>
      </c>
      <c r="K211" s="43"/>
      <c r="L211" s="38"/>
      <c r="M211" s="71"/>
      <c r="N211" s="39"/>
      <c r="O211" s="39"/>
      <c r="P211" s="39"/>
      <c r="Q211" s="72"/>
      <c r="R211" s="44"/>
      <c r="S211" s="44">
        <v>46</v>
      </c>
      <c r="T211" s="44">
        <v>10</v>
      </c>
      <c r="U211" s="44"/>
      <c r="V211" s="40"/>
      <c r="W211" s="40"/>
      <c r="X211" s="45"/>
      <c r="Y211" s="45"/>
      <c r="Z211" s="45"/>
      <c r="AA211" s="45"/>
      <c r="AB211" s="41"/>
      <c r="AC211" s="41"/>
      <c r="AD211" s="41"/>
      <c r="AE211" s="41"/>
      <c r="AF211" s="41"/>
      <c r="AG211" s="41"/>
      <c r="AH211" s="42"/>
      <c r="AI211" s="42"/>
      <c r="AJ211" s="42"/>
      <c r="AK211" s="42"/>
      <c r="AL211" s="42"/>
      <c r="AM211" s="42"/>
      <c r="AN211" s="37"/>
      <c r="AO211" s="26"/>
    </row>
    <row r="212" spans="1:41" ht="24.9" customHeight="1" x14ac:dyDescent="0.3">
      <c r="A212" s="46" t="str">
        <f t="shared" ref="A212:A227" si="54">IF(ABS(SUM(L212:AN212))&lt;&gt;SUM(E212:F212),"A Distribuer","Ok")</f>
        <v>Ok</v>
      </c>
      <c r="B212" s="36"/>
      <c r="C212" s="158">
        <v>45556</v>
      </c>
      <c r="D212" s="73" t="s">
        <v>596</v>
      </c>
      <c r="E212" s="156"/>
      <c r="F212" s="156">
        <v>202</v>
      </c>
      <c r="G212" s="118">
        <f t="shared" si="53"/>
        <v>6221.07</v>
      </c>
      <c r="H212" s="32"/>
      <c r="I212" s="13" t="s">
        <v>243</v>
      </c>
      <c r="J212" s="47" t="s">
        <v>98</v>
      </c>
      <c r="K212" s="43"/>
      <c r="L212" s="38"/>
      <c r="M212" s="71"/>
      <c r="N212" s="39"/>
      <c r="O212" s="39"/>
      <c r="P212" s="39"/>
      <c r="Q212" s="72"/>
      <c r="R212" s="44"/>
      <c r="S212" s="44">
        <v>67</v>
      </c>
      <c r="T212" s="44">
        <v>110</v>
      </c>
      <c r="U212" s="44"/>
      <c r="V212" s="40">
        <v>25</v>
      </c>
      <c r="W212" s="40"/>
      <c r="X212" s="45"/>
      <c r="Y212" s="45"/>
      <c r="Z212" s="45"/>
      <c r="AA212" s="45"/>
      <c r="AB212" s="41"/>
      <c r="AC212" s="41"/>
      <c r="AD212" s="41"/>
      <c r="AE212" s="41"/>
      <c r="AF212" s="41"/>
      <c r="AG212" s="41"/>
      <c r="AH212" s="42"/>
      <c r="AI212" s="42"/>
      <c r="AJ212" s="42"/>
      <c r="AK212" s="42"/>
      <c r="AL212" s="42"/>
      <c r="AM212" s="42"/>
      <c r="AN212" s="37"/>
      <c r="AO212" s="26"/>
    </row>
    <row r="213" spans="1:41" ht="24.9" customHeight="1" x14ac:dyDescent="0.3">
      <c r="A213" s="46" t="str">
        <f t="shared" si="54"/>
        <v>Ok</v>
      </c>
      <c r="B213" s="36"/>
      <c r="C213" s="158">
        <v>45556</v>
      </c>
      <c r="D213" s="73" t="s">
        <v>596</v>
      </c>
      <c r="E213" s="156"/>
      <c r="F213" s="156">
        <v>185</v>
      </c>
      <c r="G213" s="118">
        <f t="shared" si="53"/>
        <v>6019.07</v>
      </c>
      <c r="H213" s="32"/>
      <c r="I213" s="13" t="s">
        <v>242</v>
      </c>
      <c r="J213" s="47" t="s">
        <v>98</v>
      </c>
      <c r="K213" s="43"/>
      <c r="L213" s="38"/>
      <c r="M213" s="71"/>
      <c r="N213" s="39"/>
      <c r="O213" s="39"/>
      <c r="P213" s="39"/>
      <c r="Q213" s="72"/>
      <c r="R213" s="44"/>
      <c r="S213" s="44">
        <v>75</v>
      </c>
      <c r="T213" s="44">
        <v>110</v>
      </c>
      <c r="U213" s="44"/>
      <c r="V213" s="40"/>
      <c r="W213" s="40"/>
      <c r="X213" s="45"/>
      <c r="Y213" s="45"/>
      <c r="Z213" s="45"/>
      <c r="AA213" s="45"/>
      <c r="AB213" s="41"/>
      <c r="AC213" s="41"/>
      <c r="AD213" s="41"/>
      <c r="AE213" s="41"/>
      <c r="AF213" s="41"/>
      <c r="AG213" s="41"/>
      <c r="AH213" s="42"/>
      <c r="AI213" s="42"/>
      <c r="AJ213" s="42"/>
      <c r="AK213" s="42"/>
      <c r="AL213" s="42"/>
      <c r="AM213" s="42"/>
      <c r="AN213" s="37"/>
      <c r="AO213" s="26"/>
    </row>
    <row r="214" spans="1:41" ht="24.9" customHeight="1" x14ac:dyDescent="0.3">
      <c r="A214" s="46" t="str">
        <f t="shared" si="54"/>
        <v>Ok</v>
      </c>
      <c r="B214" s="36"/>
      <c r="C214" s="158">
        <v>45556</v>
      </c>
      <c r="D214" s="73" t="s">
        <v>596</v>
      </c>
      <c r="E214" s="156"/>
      <c r="F214" s="156">
        <v>159</v>
      </c>
      <c r="G214" s="118">
        <f t="shared" si="53"/>
        <v>5834.07</v>
      </c>
      <c r="H214" s="32"/>
      <c r="I214" s="13" t="s">
        <v>241</v>
      </c>
      <c r="J214" s="47" t="s">
        <v>98</v>
      </c>
      <c r="K214" s="43"/>
      <c r="L214" s="38"/>
      <c r="M214" s="71"/>
      <c r="N214" s="39"/>
      <c r="O214" s="39"/>
      <c r="P214" s="39"/>
      <c r="Q214" s="72"/>
      <c r="R214" s="44"/>
      <c r="S214" s="44">
        <v>46</v>
      </c>
      <c r="T214" s="44">
        <v>88</v>
      </c>
      <c r="U214" s="44"/>
      <c r="V214" s="40">
        <v>25</v>
      </c>
      <c r="W214" s="40"/>
      <c r="X214" s="45"/>
      <c r="Y214" s="45"/>
      <c r="Z214" s="45"/>
      <c r="AA214" s="45"/>
      <c r="AB214" s="41"/>
      <c r="AC214" s="41"/>
      <c r="AD214" s="41"/>
      <c r="AE214" s="41"/>
      <c r="AF214" s="41"/>
      <c r="AG214" s="41"/>
      <c r="AH214" s="42"/>
      <c r="AI214" s="42"/>
      <c r="AJ214" s="42"/>
      <c r="AK214" s="42"/>
      <c r="AL214" s="42"/>
      <c r="AM214" s="42"/>
      <c r="AN214" s="37"/>
      <c r="AO214" s="26"/>
    </row>
    <row r="215" spans="1:41" ht="24.9" customHeight="1" x14ac:dyDescent="0.3">
      <c r="A215" s="46" t="str">
        <f t="shared" si="54"/>
        <v>Ok</v>
      </c>
      <c r="B215" s="36"/>
      <c r="C215" s="158">
        <v>45556</v>
      </c>
      <c r="D215" s="73" t="s">
        <v>596</v>
      </c>
      <c r="E215" s="156"/>
      <c r="F215" s="156">
        <v>185</v>
      </c>
      <c r="G215" s="118">
        <f t="shared" si="53"/>
        <v>5675.07</v>
      </c>
      <c r="H215" s="32"/>
      <c r="I215" s="13" t="s">
        <v>240</v>
      </c>
      <c r="J215" s="47" t="s">
        <v>98</v>
      </c>
      <c r="K215" s="43"/>
      <c r="L215" s="38"/>
      <c r="M215" s="71"/>
      <c r="N215" s="39"/>
      <c r="O215" s="39"/>
      <c r="P215" s="39"/>
      <c r="Q215" s="72"/>
      <c r="R215" s="44"/>
      <c r="S215" s="44">
        <v>75</v>
      </c>
      <c r="T215" s="44">
        <v>110</v>
      </c>
      <c r="U215" s="44"/>
      <c r="V215" s="40"/>
      <c r="W215" s="40"/>
      <c r="X215" s="45"/>
      <c r="Y215" s="45"/>
      <c r="Z215" s="45"/>
      <c r="AA215" s="45"/>
      <c r="AB215" s="41"/>
      <c r="AC215" s="41"/>
      <c r="AD215" s="41"/>
      <c r="AE215" s="41"/>
      <c r="AF215" s="41"/>
      <c r="AG215" s="41"/>
      <c r="AH215" s="42"/>
      <c r="AI215" s="42"/>
      <c r="AJ215" s="42"/>
      <c r="AK215" s="42"/>
      <c r="AL215" s="42"/>
      <c r="AM215" s="42"/>
      <c r="AN215" s="37"/>
      <c r="AO215" s="26"/>
    </row>
    <row r="216" spans="1:41" ht="24.9" customHeight="1" x14ac:dyDescent="0.3">
      <c r="A216" s="46" t="str">
        <f t="shared" si="54"/>
        <v>Ok</v>
      </c>
      <c r="B216" s="36"/>
      <c r="C216" s="158">
        <v>45556</v>
      </c>
      <c r="D216" s="73" t="s">
        <v>596</v>
      </c>
      <c r="E216" s="156"/>
      <c r="F216" s="156">
        <v>156</v>
      </c>
      <c r="G216" s="118">
        <f t="shared" si="53"/>
        <v>5490.07</v>
      </c>
      <c r="H216" s="32"/>
      <c r="I216" s="13" t="s">
        <v>239</v>
      </c>
      <c r="J216" s="47" t="s">
        <v>98</v>
      </c>
      <c r="K216" s="43"/>
      <c r="L216" s="38"/>
      <c r="M216" s="71"/>
      <c r="N216" s="39"/>
      <c r="O216" s="39"/>
      <c r="P216" s="39"/>
      <c r="Q216" s="72"/>
      <c r="R216" s="44"/>
      <c r="S216" s="44">
        <v>46</v>
      </c>
      <c r="T216" s="44">
        <v>110</v>
      </c>
      <c r="U216" s="44"/>
      <c r="V216" s="40"/>
      <c r="W216" s="40"/>
      <c r="X216" s="45"/>
      <c r="Y216" s="45"/>
      <c r="Z216" s="45"/>
      <c r="AA216" s="45"/>
      <c r="AB216" s="41"/>
      <c r="AC216" s="41"/>
      <c r="AD216" s="41"/>
      <c r="AE216" s="41"/>
      <c r="AF216" s="41"/>
      <c r="AG216" s="41"/>
      <c r="AH216" s="42"/>
      <c r="AI216" s="42"/>
      <c r="AJ216" s="42"/>
      <c r="AK216" s="42"/>
      <c r="AL216" s="42"/>
      <c r="AM216" s="42"/>
      <c r="AN216" s="37"/>
      <c r="AO216" s="26"/>
    </row>
    <row r="217" spans="1:41" ht="24.9" customHeight="1" x14ac:dyDescent="0.25">
      <c r="A217" s="46" t="str">
        <f t="shared" si="54"/>
        <v>Ok</v>
      </c>
      <c r="B217" s="36"/>
      <c r="C217" s="159">
        <v>45554</v>
      </c>
      <c r="D217" s="73" t="s">
        <v>584</v>
      </c>
      <c r="E217" s="156"/>
      <c r="F217" s="156">
        <v>16</v>
      </c>
      <c r="G217" s="118">
        <f t="shared" si="53"/>
        <v>5334.07</v>
      </c>
      <c r="H217" s="32"/>
      <c r="I217" s="13" t="s">
        <v>585</v>
      </c>
      <c r="J217" s="47" t="s">
        <v>98</v>
      </c>
      <c r="K217" s="43"/>
      <c r="L217" s="38"/>
      <c r="M217" s="71"/>
      <c r="N217" s="39"/>
      <c r="O217" s="39"/>
      <c r="P217" s="39"/>
      <c r="Q217" s="72"/>
      <c r="R217" s="44"/>
      <c r="S217" s="44"/>
      <c r="T217" s="44">
        <v>16</v>
      </c>
      <c r="U217" s="44"/>
      <c r="V217" s="40"/>
      <c r="W217" s="40"/>
      <c r="X217" s="45"/>
      <c r="Y217" s="45"/>
      <c r="Z217" s="45"/>
      <c r="AA217" s="45"/>
      <c r="AB217" s="41"/>
      <c r="AC217" s="41"/>
      <c r="AD217" s="41"/>
      <c r="AE217" s="41"/>
      <c r="AF217" s="41"/>
      <c r="AG217" s="41"/>
      <c r="AH217" s="42"/>
      <c r="AI217" s="42"/>
      <c r="AJ217" s="42"/>
      <c r="AK217" s="42"/>
      <c r="AL217" s="42"/>
      <c r="AM217" s="42"/>
      <c r="AN217" s="37"/>
      <c r="AO217" s="26"/>
    </row>
    <row r="218" spans="1:41" ht="24.9" customHeight="1" x14ac:dyDescent="0.25">
      <c r="A218" s="46" t="str">
        <f t="shared" si="54"/>
        <v>Ok</v>
      </c>
      <c r="B218" s="36"/>
      <c r="C218" s="159">
        <v>45551</v>
      </c>
      <c r="D218" s="99" t="s">
        <v>238</v>
      </c>
      <c r="E218" s="157">
        <v>150</v>
      </c>
      <c r="F218" s="157"/>
      <c r="G218" s="118">
        <f t="shared" ref="G218:G226" si="55">G219-E218+F218</f>
        <v>5318.07</v>
      </c>
      <c r="H218" s="32"/>
      <c r="I218" s="13" t="s">
        <v>534</v>
      </c>
      <c r="J218" s="47" t="s">
        <v>98</v>
      </c>
      <c r="K218" s="43"/>
      <c r="L218" s="38"/>
      <c r="M218" s="71"/>
      <c r="N218" s="39"/>
      <c r="O218" s="39"/>
      <c r="P218" s="39"/>
      <c r="Q218" s="72"/>
      <c r="R218" s="44">
        <v>150</v>
      </c>
      <c r="S218" s="44"/>
      <c r="T218" s="44"/>
      <c r="U218" s="44"/>
      <c r="V218" s="40"/>
      <c r="W218" s="40"/>
      <c r="X218" s="45"/>
      <c r="Y218" s="45"/>
      <c r="Z218" s="45"/>
      <c r="AA218" s="45"/>
      <c r="AB218" s="41"/>
      <c r="AC218" s="41"/>
      <c r="AD218" s="41"/>
      <c r="AE218" s="41"/>
      <c r="AF218" s="41"/>
      <c r="AG218" s="41"/>
      <c r="AH218" s="42"/>
      <c r="AI218" s="42"/>
      <c r="AJ218" s="42"/>
      <c r="AK218" s="42"/>
      <c r="AL218" s="42"/>
      <c r="AM218" s="42"/>
      <c r="AN218" s="37"/>
      <c r="AO218" s="26"/>
    </row>
    <row r="219" spans="1:41" ht="24.9" customHeight="1" x14ac:dyDescent="0.25">
      <c r="A219" s="46" t="str">
        <f t="shared" si="54"/>
        <v>Ok</v>
      </c>
      <c r="B219" s="36"/>
      <c r="C219" s="159">
        <v>45551</v>
      </c>
      <c r="D219" s="99" t="s">
        <v>237</v>
      </c>
      <c r="E219" s="157">
        <v>35</v>
      </c>
      <c r="F219" s="157"/>
      <c r="G219" s="118">
        <f t="shared" si="55"/>
        <v>5468.07</v>
      </c>
      <c r="H219" s="32"/>
      <c r="I219" s="13" t="s">
        <v>15</v>
      </c>
      <c r="J219" s="47" t="s">
        <v>98</v>
      </c>
      <c r="K219" s="43"/>
      <c r="L219" s="38"/>
      <c r="M219" s="71"/>
      <c r="N219" s="39"/>
      <c r="O219" s="39"/>
      <c r="P219" s="39">
        <v>35</v>
      </c>
      <c r="Q219" s="72"/>
      <c r="R219" s="44"/>
      <c r="S219" s="44"/>
      <c r="T219" s="44"/>
      <c r="U219" s="44"/>
      <c r="V219" s="40"/>
      <c r="W219" s="40"/>
      <c r="X219" s="45"/>
      <c r="Y219" s="45"/>
      <c r="Z219" s="45"/>
      <c r="AA219" s="45"/>
      <c r="AB219" s="41"/>
      <c r="AC219" s="41"/>
      <c r="AD219" s="41"/>
      <c r="AE219" s="41"/>
      <c r="AF219" s="41"/>
      <c r="AG219" s="41"/>
      <c r="AH219" s="42"/>
      <c r="AI219" s="42"/>
      <c r="AJ219" s="42"/>
      <c r="AK219" s="42"/>
      <c r="AL219" s="42"/>
      <c r="AM219" s="42"/>
      <c r="AN219" s="37"/>
      <c r="AO219" s="26"/>
    </row>
    <row r="220" spans="1:41" ht="24.9" customHeight="1" x14ac:dyDescent="0.25">
      <c r="A220" s="46" t="str">
        <f t="shared" si="54"/>
        <v>Ok</v>
      </c>
      <c r="B220" s="36"/>
      <c r="C220" s="159">
        <v>45551</v>
      </c>
      <c r="D220" s="99" t="s">
        <v>235</v>
      </c>
      <c r="E220" s="157"/>
      <c r="F220" s="157">
        <v>332</v>
      </c>
      <c r="G220" s="118">
        <f t="shared" si="55"/>
        <v>5503.07</v>
      </c>
      <c r="H220" s="32"/>
      <c r="I220" s="13" t="s">
        <v>236</v>
      </c>
      <c r="J220" s="47" t="s">
        <v>98</v>
      </c>
      <c r="K220" s="43"/>
      <c r="L220" s="38"/>
      <c r="M220" s="71"/>
      <c r="N220" s="39"/>
      <c r="O220" s="39"/>
      <c r="P220" s="39"/>
      <c r="Q220" s="72"/>
      <c r="R220" s="44"/>
      <c r="S220" s="44">
        <f>2*75</f>
        <v>150</v>
      </c>
      <c r="T220" s="44">
        <v>182</v>
      </c>
      <c r="U220" s="44"/>
      <c r="V220" s="40"/>
      <c r="W220" s="40"/>
      <c r="X220" s="45"/>
      <c r="Y220" s="45"/>
      <c r="Z220" s="45"/>
      <c r="AA220" s="45"/>
      <c r="AB220" s="41"/>
      <c r="AC220" s="41"/>
      <c r="AD220" s="41"/>
      <c r="AE220" s="41"/>
      <c r="AF220" s="41"/>
      <c r="AG220" s="41"/>
      <c r="AH220" s="42"/>
      <c r="AI220" s="42"/>
      <c r="AJ220" s="42"/>
      <c r="AK220" s="42"/>
      <c r="AL220" s="42"/>
      <c r="AM220" s="42"/>
      <c r="AN220" s="37"/>
      <c r="AO220" s="26"/>
    </row>
    <row r="221" spans="1:41" ht="22.2" x14ac:dyDescent="0.25">
      <c r="A221" s="46" t="str">
        <f t="shared" si="54"/>
        <v>Ok</v>
      </c>
      <c r="B221" s="36"/>
      <c r="C221" s="159">
        <v>45551</v>
      </c>
      <c r="D221" s="99" t="s">
        <v>233</v>
      </c>
      <c r="E221" s="157"/>
      <c r="F221" s="157">
        <v>185</v>
      </c>
      <c r="G221" s="118">
        <f t="shared" si="55"/>
        <v>5171.07</v>
      </c>
      <c r="H221" s="32"/>
      <c r="I221" s="13" t="s">
        <v>234</v>
      </c>
      <c r="J221" s="47" t="s">
        <v>98</v>
      </c>
      <c r="K221" s="43"/>
      <c r="L221" s="38"/>
      <c r="M221" s="71"/>
      <c r="N221" s="39"/>
      <c r="O221" s="39"/>
      <c r="P221" s="39"/>
      <c r="Q221" s="72"/>
      <c r="R221" s="44"/>
      <c r="S221" s="44">
        <v>75</v>
      </c>
      <c r="T221" s="44">
        <v>110</v>
      </c>
      <c r="U221" s="44"/>
      <c r="V221" s="40"/>
      <c r="W221" s="40"/>
      <c r="X221" s="45"/>
      <c r="Y221" s="45"/>
      <c r="Z221" s="45"/>
      <c r="AA221" s="45"/>
      <c r="AB221" s="41"/>
      <c r="AC221" s="41"/>
      <c r="AD221" s="41"/>
      <c r="AE221" s="41"/>
      <c r="AF221" s="41"/>
      <c r="AG221" s="41"/>
      <c r="AH221" s="42"/>
      <c r="AI221" s="42"/>
      <c r="AJ221" s="42"/>
      <c r="AK221" s="42"/>
      <c r="AL221" s="42"/>
      <c r="AM221" s="42"/>
      <c r="AN221" s="37"/>
      <c r="AO221" s="26"/>
    </row>
    <row r="222" spans="1:41" ht="24.9" customHeight="1" x14ac:dyDescent="0.25">
      <c r="A222" s="46" t="str">
        <f t="shared" si="54"/>
        <v>Ok</v>
      </c>
      <c r="B222" s="36"/>
      <c r="C222" s="159">
        <v>45551</v>
      </c>
      <c r="D222" s="99" t="s">
        <v>231</v>
      </c>
      <c r="E222" s="157"/>
      <c r="F222" s="157">
        <v>185</v>
      </c>
      <c r="G222" s="118">
        <f t="shared" si="55"/>
        <v>4986.07</v>
      </c>
      <c r="H222" s="32"/>
      <c r="I222" s="13" t="s">
        <v>232</v>
      </c>
      <c r="J222" s="47" t="s">
        <v>98</v>
      </c>
      <c r="K222" s="43"/>
      <c r="L222" s="38"/>
      <c r="M222" s="71"/>
      <c r="N222" s="39"/>
      <c r="O222" s="39"/>
      <c r="P222" s="39"/>
      <c r="Q222" s="72"/>
      <c r="R222" s="44"/>
      <c r="S222" s="44">
        <v>75</v>
      </c>
      <c r="T222" s="44">
        <v>110</v>
      </c>
      <c r="U222" s="44"/>
      <c r="V222" s="40"/>
      <c r="W222" s="40"/>
      <c r="X222" s="45"/>
      <c r="Y222" s="45"/>
      <c r="Z222" s="45"/>
      <c r="AA222" s="45"/>
      <c r="AB222" s="41"/>
      <c r="AC222" s="41"/>
      <c r="AD222" s="41"/>
      <c r="AE222" s="41"/>
      <c r="AF222" s="41"/>
      <c r="AG222" s="41"/>
      <c r="AH222" s="42"/>
      <c r="AI222" s="42"/>
      <c r="AJ222" s="42"/>
      <c r="AK222" s="42"/>
      <c r="AL222" s="42"/>
      <c r="AM222" s="42"/>
      <c r="AN222" s="37"/>
      <c r="AO222" s="26"/>
    </row>
    <row r="223" spans="1:41" ht="24.9" customHeight="1" x14ac:dyDescent="0.25">
      <c r="A223" s="46" t="str">
        <f t="shared" si="54"/>
        <v>Ok</v>
      </c>
      <c r="B223" s="36"/>
      <c r="C223" s="80">
        <v>45551</v>
      </c>
      <c r="D223" s="99" t="s">
        <v>229</v>
      </c>
      <c r="E223" s="157"/>
      <c r="F223" s="157">
        <v>185</v>
      </c>
      <c r="G223" s="118">
        <f t="shared" si="55"/>
        <v>4801.07</v>
      </c>
      <c r="H223" s="32"/>
      <c r="I223" s="13" t="s">
        <v>230</v>
      </c>
      <c r="J223" s="47" t="s">
        <v>98</v>
      </c>
      <c r="K223" s="43"/>
      <c r="L223" s="38"/>
      <c r="M223" s="71"/>
      <c r="N223" s="39"/>
      <c r="O223" s="39"/>
      <c r="P223" s="39"/>
      <c r="Q223" s="72"/>
      <c r="R223" s="44"/>
      <c r="S223" s="44">
        <v>75</v>
      </c>
      <c r="T223" s="44">
        <v>110</v>
      </c>
      <c r="U223" s="44"/>
      <c r="V223" s="40"/>
      <c r="W223" s="40"/>
      <c r="X223" s="45"/>
      <c r="Y223" s="45"/>
      <c r="Z223" s="45"/>
      <c r="AA223" s="45"/>
      <c r="AB223" s="41"/>
      <c r="AC223" s="41"/>
      <c r="AD223" s="41"/>
      <c r="AE223" s="41"/>
      <c r="AF223" s="41"/>
      <c r="AG223" s="41"/>
      <c r="AH223" s="42"/>
      <c r="AI223" s="42"/>
      <c r="AJ223" s="42"/>
      <c r="AK223" s="42"/>
      <c r="AL223" s="42"/>
      <c r="AM223" s="42"/>
      <c r="AN223" s="37"/>
      <c r="AO223" s="26"/>
    </row>
    <row r="224" spans="1:41" ht="24.9" customHeight="1" x14ac:dyDescent="0.25">
      <c r="A224" s="46" t="str">
        <f t="shared" si="54"/>
        <v>Ok</v>
      </c>
      <c r="B224" s="36"/>
      <c r="C224" s="80">
        <v>45546</v>
      </c>
      <c r="D224" s="99" t="s">
        <v>227</v>
      </c>
      <c r="E224" s="157"/>
      <c r="F224" s="157">
        <v>210</v>
      </c>
      <c r="G224" s="118">
        <f t="shared" si="55"/>
        <v>4616.07</v>
      </c>
      <c r="H224" s="32"/>
      <c r="I224" s="13" t="s">
        <v>228</v>
      </c>
      <c r="J224" s="47" t="s">
        <v>98</v>
      </c>
      <c r="K224" s="43"/>
      <c r="L224" s="38"/>
      <c r="M224" s="71"/>
      <c r="N224" s="39"/>
      <c r="O224" s="39"/>
      <c r="P224" s="39"/>
      <c r="Q224" s="72"/>
      <c r="R224" s="44"/>
      <c r="S224" s="44">
        <v>75</v>
      </c>
      <c r="T224" s="44">
        <v>110</v>
      </c>
      <c r="U224" s="44"/>
      <c r="V224" s="40">
        <v>25</v>
      </c>
      <c r="W224" s="40"/>
      <c r="X224" s="45"/>
      <c r="Y224" s="45"/>
      <c r="Z224" s="45"/>
      <c r="AA224" s="45"/>
      <c r="AB224" s="41"/>
      <c r="AC224" s="41"/>
      <c r="AD224" s="41"/>
      <c r="AE224" s="41"/>
      <c r="AF224" s="41"/>
      <c r="AG224" s="41"/>
      <c r="AH224" s="42"/>
      <c r="AI224" s="42"/>
      <c r="AJ224" s="42"/>
      <c r="AK224" s="42"/>
      <c r="AL224" s="42"/>
      <c r="AM224" s="42"/>
      <c r="AN224" s="37"/>
      <c r="AO224" s="26"/>
    </row>
    <row r="225" spans="1:41" ht="22.2" x14ac:dyDescent="0.25">
      <c r="A225" s="46" t="str">
        <f t="shared" si="54"/>
        <v>Ok</v>
      </c>
      <c r="B225" s="36"/>
      <c r="C225" s="80">
        <v>45544</v>
      </c>
      <c r="D225" s="99" t="s">
        <v>224</v>
      </c>
      <c r="E225" s="157"/>
      <c r="F225" s="157">
        <v>185</v>
      </c>
      <c r="G225" s="118">
        <f t="shared" si="55"/>
        <v>4406.07</v>
      </c>
      <c r="H225" s="32"/>
      <c r="I225" s="13" t="s">
        <v>226</v>
      </c>
      <c r="J225" s="47" t="s">
        <v>98</v>
      </c>
      <c r="K225" s="43"/>
      <c r="L225" s="38"/>
      <c r="M225" s="71"/>
      <c r="N225" s="39"/>
      <c r="O225" s="39"/>
      <c r="P225" s="39"/>
      <c r="Q225" s="72"/>
      <c r="R225" s="44"/>
      <c r="S225" s="44">
        <v>75</v>
      </c>
      <c r="T225" s="44">
        <v>110</v>
      </c>
      <c r="U225" s="44"/>
      <c r="V225" s="40"/>
      <c r="W225" s="40"/>
      <c r="X225" s="45"/>
      <c r="Y225" s="45"/>
      <c r="Z225" s="45"/>
      <c r="AA225" s="45"/>
      <c r="AB225" s="41"/>
      <c r="AC225" s="41"/>
      <c r="AD225" s="41"/>
      <c r="AE225" s="41"/>
      <c r="AF225" s="41"/>
      <c r="AG225" s="41"/>
      <c r="AH225" s="42"/>
      <c r="AI225" s="42"/>
      <c r="AJ225" s="42"/>
      <c r="AK225" s="42"/>
      <c r="AL225" s="42"/>
      <c r="AM225" s="42"/>
      <c r="AN225" s="37"/>
      <c r="AO225" s="26"/>
    </row>
    <row r="226" spans="1:41" ht="22.2" x14ac:dyDescent="0.25">
      <c r="A226" s="46" t="str">
        <f t="shared" si="54"/>
        <v>Ok</v>
      </c>
      <c r="B226" s="36"/>
      <c r="C226" s="80">
        <v>45544</v>
      </c>
      <c r="D226" s="99" t="s">
        <v>221</v>
      </c>
      <c r="E226" s="157"/>
      <c r="F226" s="157">
        <v>75</v>
      </c>
      <c r="G226" s="118">
        <f t="shared" si="55"/>
        <v>4221.07</v>
      </c>
      <c r="H226" s="32"/>
      <c r="I226" s="13" t="s">
        <v>225</v>
      </c>
      <c r="J226" s="47" t="s">
        <v>98</v>
      </c>
      <c r="K226" s="43"/>
      <c r="L226" s="38"/>
      <c r="M226" s="71"/>
      <c r="N226" s="39"/>
      <c r="O226" s="39"/>
      <c r="P226" s="39"/>
      <c r="Q226" s="72"/>
      <c r="R226" s="44"/>
      <c r="S226" s="44">
        <v>75</v>
      </c>
      <c r="T226" s="44"/>
      <c r="U226" s="44"/>
      <c r="V226" s="40"/>
      <c r="W226" s="40"/>
      <c r="X226" s="45"/>
      <c r="Y226" s="45"/>
      <c r="Z226" s="45"/>
      <c r="AA226" s="45"/>
      <c r="AB226" s="41"/>
      <c r="AC226" s="41"/>
      <c r="AD226" s="41"/>
      <c r="AE226" s="41"/>
      <c r="AF226" s="41"/>
      <c r="AG226" s="41"/>
      <c r="AH226" s="42"/>
      <c r="AI226" s="42"/>
      <c r="AJ226" s="42"/>
      <c r="AK226" s="42"/>
      <c r="AL226" s="42"/>
      <c r="AM226" s="42"/>
      <c r="AN226" s="37"/>
      <c r="AO226" s="26"/>
    </row>
    <row r="227" spans="1:41" ht="24.9" customHeight="1" x14ac:dyDescent="0.25">
      <c r="A227" s="46" t="str">
        <f t="shared" si="54"/>
        <v>Ok</v>
      </c>
      <c r="B227" s="36"/>
      <c r="C227" s="80">
        <v>45537</v>
      </c>
      <c r="D227" s="99" t="s">
        <v>222</v>
      </c>
      <c r="E227" s="157">
        <v>240.51</v>
      </c>
      <c r="F227" s="157"/>
      <c r="G227" s="118">
        <f>G228-E227+F227</f>
        <v>4146.07</v>
      </c>
      <c r="H227" s="32"/>
      <c r="I227" s="13" t="s">
        <v>223</v>
      </c>
      <c r="J227" s="47" t="s">
        <v>98</v>
      </c>
      <c r="K227" s="43"/>
      <c r="L227" s="38"/>
      <c r="M227" s="71"/>
      <c r="N227" s="39">
        <v>174.91</v>
      </c>
      <c r="O227" s="39">
        <v>65.599999999999994</v>
      </c>
      <c r="P227" s="39"/>
      <c r="Q227" s="72"/>
      <c r="R227" s="44"/>
      <c r="S227" s="44"/>
      <c r="T227" s="44"/>
      <c r="U227" s="44"/>
      <c r="V227" s="40"/>
      <c r="W227" s="40"/>
      <c r="X227" s="45"/>
      <c r="Y227" s="45"/>
      <c r="Z227" s="45"/>
      <c r="AA227" s="45"/>
      <c r="AB227" s="41"/>
      <c r="AC227" s="41"/>
      <c r="AD227" s="41"/>
      <c r="AE227" s="41"/>
      <c r="AF227" s="41"/>
      <c r="AG227" s="41"/>
      <c r="AH227" s="42"/>
      <c r="AI227" s="42"/>
      <c r="AJ227" s="42"/>
      <c r="AK227" s="42"/>
      <c r="AL227" s="42"/>
      <c r="AM227" s="42"/>
      <c r="AN227" s="37"/>
      <c r="AO227" s="26"/>
    </row>
    <row r="228" spans="1:41" s="83" customFormat="1" ht="24.9" customHeight="1" x14ac:dyDescent="0.3">
      <c r="B228" s="84"/>
      <c r="C228" s="85"/>
      <c r="D228" s="86" t="s">
        <v>857</v>
      </c>
      <c r="E228" s="87"/>
      <c r="F228" s="87"/>
      <c r="G228" s="118">
        <v>4386.58</v>
      </c>
      <c r="H228" s="88"/>
      <c r="I228" s="84"/>
      <c r="J228" s="85"/>
      <c r="K228" s="89"/>
      <c r="L228" s="90">
        <v>6946.35</v>
      </c>
      <c r="M228" s="90"/>
      <c r="N228" s="91"/>
      <c r="O228" s="91"/>
      <c r="P228" s="92"/>
      <c r="Q228" s="93"/>
      <c r="R228" s="94"/>
      <c r="S228" s="94"/>
      <c r="T228" s="94"/>
      <c r="U228" s="94"/>
      <c r="V228" s="95"/>
      <c r="W228" s="95"/>
      <c r="X228" s="96"/>
      <c r="Y228" s="96"/>
      <c r="Z228" s="96"/>
      <c r="AA228" s="96"/>
      <c r="AB228" s="97"/>
      <c r="AC228" s="97"/>
      <c r="AD228" s="97"/>
      <c r="AE228" s="97"/>
      <c r="AF228" s="97"/>
      <c r="AG228" s="97"/>
      <c r="AH228" s="98"/>
      <c r="AI228" s="98"/>
      <c r="AJ228" s="98"/>
      <c r="AK228" s="98"/>
      <c r="AL228" s="98"/>
      <c r="AM228" s="98"/>
      <c r="AN228" s="98"/>
      <c r="AO228" s="418"/>
    </row>
    <row r="233" spans="1:41" x14ac:dyDescent="0.3">
      <c r="AF233" s="75"/>
    </row>
  </sheetData>
  <autoFilter ref="A5:AO228" xr:uid="{C21272F6-2104-474B-B131-2179DB69409C}"/>
  <mergeCells count="10">
    <mergeCell ref="L1:M1"/>
    <mergeCell ref="L2:L3"/>
    <mergeCell ref="M2:M3"/>
    <mergeCell ref="N1:P1"/>
    <mergeCell ref="R1:U1"/>
    <mergeCell ref="X1:Y1"/>
    <mergeCell ref="Z1:AA1"/>
    <mergeCell ref="AB1:AG1"/>
    <mergeCell ref="V1:W1"/>
    <mergeCell ref="AH1:AO1"/>
  </mergeCells>
  <phoneticPr fontId="11" type="noConversion"/>
  <conditionalFormatting sqref="A6:A227">
    <cfRule type="cellIs" dxfId="5" priority="3" stopIfTrue="1" operator="equal">
      <formula>"A Distribuer"</formula>
    </cfRule>
  </conditionalFormatting>
  <conditionalFormatting sqref="G1">
    <cfRule type="expression" dxfId="4" priority="2">
      <formula>"&lt;&gt;F5"</formula>
    </cfRule>
  </conditionalFormatting>
  <conditionalFormatting sqref="G4">
    <cfRule type="cellIs" dxfId="3" priority="1" operator="equal">
      <formula>$G$5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444AC-8B4B-4B0F-A263-30C739D1E0B6}">
  <dimension ref="A1:F13"/>
  <sheetViews>
    <sheetView workbookViewId="0">
      <selection activeCell="D13" sqref="D13"/>
    </sheetView>
  </sheetViews>
  <sheetFormatPr baseColWidth="10" defaultColWidth="15.5546875" defaultRowHeight="14.4" x14ac:dyDescent="0.3"/>
  <cols>
    <col min="1" max="1" width="10.6640625" style="1" bestFit="1" customWidth="1"/>
    <col min="2" max="2" width="22.5546875" style="1" bestFit="1" customWidth="1"/>
    <col min="3" max="3" width="11.33203125" style="1" bestFit="1" customWidth="1"/>
    <col min="4" max="4" width="12" style="1" bestFit="1" customWidth="1"/>
    <col min="5" max="16384" width="15.5546875" style="1"/>
  </cols>
  <sheetData>
    <row r="1" spans="1:6" s="2" customFormat="1" ht="24.9" customHeight="1" x14ac:dyDescent="0.3">
      <c r="A1" s="34" t="s">
        <v>5</v>
      </c>
      <c r="B1" s="34" t="s">
        <v>7</v>
      </c>
      <c r="C1" s="34" t="s">
        <v>20</v>
      </c>
      <c r="D1" s="34" t="s">
        <v>21</v>
      </c>
    </row>
    <row r="2" spans="1:6" s="2" customFormat="1" ht="24.9" customHeight="1" x14ac:dyDescent="0.3">
      <c r="A2" s="50">
        <v>44317</v>
      </c>
      <c r="B2" s="55"/>
      <c r="C2" s="34"/>
      <c r="D2" s="76">
        <v>1380.56</v>
      </c>
      <c r="F2" s="33"/>
    </row>
    <row r="3" spans="1:6" s="2" customFormat="1" ht="24.9" customHeight="1" x14ac:dyDescent="0.3">
      <c r="A3" s="51">
        <v>44641</v>
      </c>
      <c r="B3" s="56" t="s">
        <v>57</v>
      </c>
      <c r="C3" s="52"/>
      <c r="D3" s="77">
        <v>2400</v>
      </c>
    </row>
    <row r="4" spans="1:6" s="2" customFormat="1" ht="24.9" customHeight="1" x14ac:dyDescent="0.3">
      <c r="A4" s="51">
        <v>44561</v>
      </c>
      <c r="B4" s="56" t="s">
        <v>58</v>
      </c>
      <c r="C4" s="52"/>
      <c r="D4" s="77">
        <v>6.9</v>
      </c>
    </row>
    <row r="5" spans="1:6" s="2" customFormat="1" ht="24.9" customHeight="1" x14ac:dyDescent="0.3">
      <c r="A5" s="53">
        <v>44707</v>
      </c>
      <c r="B5" s="57" t="s">
        <v>59</v>
      </c>
      <c r="C5" s="54"/>
      <c r="D5" s="78">
        <f>D2+D3+D4</f>
        <v>3787.46</v>
      </c>
    </row>
    <row r="6" spans="1:6" s="2" customFormat="1" ht="24.9" customHeight="1" x14ac:dyDescent="0.3">
      <c r="A6" s="51">
        <v>44925</v>
      </c>
      <c r="B6" s="58" t="s">
        <v>99</v>
      </c>
      <c r="C6" s="52"/>
      <c r="D6" s="77">
        <v>31.56</v>
      </c>
    </row>
    <row r="7" spans="1:6" s="2" customFormat="1" ht="24.9" customHeight="1" x14ac:dyDescent="0.3">
      <c r="A7" s="51">
        <v>44925</v>
      </c>
      <c r="B7" s="58" t="s">
        <v>100</v>
      </c>
      <c r="C7" s="52"/>
      <c r="D7" s="77">
        <v>14.93</v>
      </c>
    </row>
    <row r="8" spans="1:6" s="2" customFormat="1" ht="24.9" customHeight="1" x14ac:dyDescent="0.3">
      <c r="A8" s="51">
        <v>44925</v>
      </c>
      <c r="B8" s="58" t="s">
        <v>101</v>
      </c>
      <c r="C8" s="52"/>
      <c r="D8" s="77">
        <v>0.56999999999999995</v>
      </c>
    </row>
    <row r="9" spans="1:6" s="2" customFormat="1" ht="24.9" customHeight="1" x14ac:dyDescent="0.3">
      <c r="A9" s="53">
        <v>45080</v>
      </c>
      <c r="B9" s="57" t="s">
        <v>59</v>
      </c>
      <c r="C9" s="54"/>
      <c r="D9" s="78">
        <f>D5+SUM(D6:D8)</f>
        <v>3834.52</v>
      </c>
    </row>
    <row r="10" spans="1:6" ht="20.399999999999999" x14ac:dyDescent="0.3">
      <c r="A10" s="51">
        <v>45289</v>
      </c>
      <c r="B10" s="58" t="s">
        <v>209</v>
      </c>
      <c r="C10" s="52"/>
      <c r="D10" s="77">
        <v>6.39</v>
      </c>
    </row>
    <row r="11" spans="1:6" ht="20.399999999999999" x14ac:dyDescent="0.3">
      <c r="A11" s="51">
        <v>45289</v>
      </c>
      <c r="B11" s="58" t="s">
        <v>210</v>
      </c>
      <c r="C11" s="52"/>
      <c r="D11" s="77">
        <v>105.44</v>
      </c>
    </row>
    <row r="12" spans="1:6" ht="20.399999999999999" x14ac:dyDescent="0.3">
      <c r="A12" s="51">
        <v>45472</v>
      </c>
      <c r="B12" s="58" t="s">
        <v>211</v>
      </c>
      <c r="C12" s="52"/>
      <c r="D12" s="79">
        <v>3000</v>
      </c>
    </row>
    <row r="13" spans="1:6" s="2" customFormat="1" ht="24.9" customHeight="1" x14ac:dyDescent="0.3">
      <c r="A13" s="53">
        <v>45519</v>
      </c>
      <c r="B13" s="57" t="s">
        <v>59</v>
      </c>
      <c r="C13" s="54"/>
      <c r="D13" s="78">
        <f>D9+SUM(D10:D12)</f>
        <v>6946.35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F138-364E-4D1D-B0F1-28F20D169A9A}">
  <dimension ref="A1:BN67"/>
  <sheetViews>
    <sheetView zoomScaleNormal="100" workbookViewId="0">
      <selection activeCell="B15" sqref="B15"/>
    </sheetView>
  </sheetViews>
  <sheetFormatPr baseColWidth="10" defaultRowHeight="14.4" x14ac:dyDescent="0.3"/>
  <cols>
    <col min="1" max="1" width="6" style="136" customWidth="1"/>
    <col min="3" max="3" width="7.33203125" bestFit="1" customWidth="1"/>
    <col min="4" max="5" width="25.88671875" customWidth="1"/>
    <col min="6" max="8" width="25.88671875" hidden="1" customWidth="1"/>
    <col min="9" max="9" width="15" hidden="1" customWidth="1"/>
    <col min="10" max="10" width="15" bestFit="1" customWidth="1"/>
    <col min="11" max="11" width="31.33203125" bestFit="1" customWidth="1"/>
    <col min="12" max="12" width="27.44140625" bestFit="1" customWidth="1"/>
    <col min="13" max="13" width="17.33203125" style="124" bestFit="1" customWidth="1"/>
    <col min="14" max="14" width="28.33203125" bestFit="1" customWidth="1"/>
    <col min="16" max="16" width="34.21875" customWidth="1"/>
    <col min="18" max="18" width="21.109375" bestFit="1" customWidth="1"/>
    <col min="19" max="19" width="30.88671875" bestFit="1" customWidth="1"/>
    <col min="20" max="20" width="11" customWidth="1"/>
    <col min="21" max="21" width="15.21875" customWidth="1"/>
    <col min="22" max="22" width="6.6640625" customWidth="1"/>
    <col min="23" max="23" width="9.5546875" customWidth="1"/>
    <col min="24" max="24" width="8.88671875" customWidth="1"/>
    <col min="25" max="25" width="14.6640625" customWidth="1"/>
    <col min="26" max="26" width="11.77734375" customWidth="1"/>
    <col min="28" max="28" width="12.88671875" customWidth="1"/>
    <col min="31" max="31" width="16.21875" customWidth="1"/>
    <col min="32" max="32" width="12.88671875" bestFit="1" customWidth="1"/>
    <col min="33" max="33" width="12" customWidth="1"/>
    <col min="34" max="34" width="11.6640625" customWidth="1"/>
    <col min="35" max="35" width="31.6640625" bestFit="1" customWidth="1"/>
  </cols>
  <sheetData>
    <row r="1" spans="1:66" s="119" customFormat="1" ht="39" customHeight="1" x14ac:dyDescent="0.3">
      <c r="B1" s="120" t="s">
        <v>245</v>
      </c>
      <c r="C1" s="120" t="s">
        <v>246</v>
      </c>
      <c r="D1" s="120" t="s">
        <v>24</v>
      </c>
      <c r="E1" s="120" t="s">
        <v>25</v>
      </c>
      <c r="F1" s="120" t="s">
        <v>247</v>
      </c>
      <c r="G1" s="120" t="s">
        <v>248</v>
      </c>
      <c r="H1" s="120" t="s">
        <v>249</v>
      </c>
      <c r="I1" s="120" t="s">
        <v>131</v>
      </c>
      <c r="J1" s="120" t="s">
        <v>250</v>
      </c>
      <c r="K1" s="120" t="s">
        <v>69</v>
      </c>
      <c r="L1" s="119" t="s">
        <v>251</v>
      </c>
      <c r="M1" s="121" t="s">
        <v>252</v>
      </c>
      <c r="N1" s="120" t="s">
        <v>253</v>
      </c>
      <c r="O1" s="120" t="s">
        <v>254</v>
      </c>
      <c r="P1" s="120" t="s">
        <v>26</v>
      </c>
      <c r="Q1" s="120" t="s">
        <v>255</v>
      </c>
      <c r="R1" s="120" t="s">
        <v>256</v>
      </c>
      <c r="S1" s="120" t="s">
        <v>257</v>
      </c>
      <c r="T1" s="120" t="s">
        <v>258</v>
      </c>
      <c r="U1" s="120" t="s">
        <v>259</v>
      </c>
      <c r="V1" s="120" t="s">
        <v>260</v>
      </c>
      <c r="W1" s="120" t="s">
        <v>261</v>
      </c>
      <c r="X1" s="120" t="s">
        <v>262</v>
      </c>
      <c r="Y1" s="122" t="s">
        <v>263</v>
      </c>
      <c r="Z1" s="120" t="s">
        <v>264</v>
      </c>
      <c r="AA1" s="120" t="s">
        <v>265</v>
      </c>
      <c r="AB1" s="120" t="s">
        <v>266</v>
      </c>
      <c r="AC1" s="120" t="s">
        <v>267</v>
      </c>
      <c r="AD1" s="120" t="s">
        <v>268</v>
      </c>
      <c r="AE1" s="120" t="s">
        <v>269</v>
      </c>
      <c r="AF1" s="120" t="s">
        <v>270</v>
      </c>
      <c r="AG1" s="120" t="s">
        <v>271</v>
      </c>
      <c r="AH1" s="120" t="s">
        <v>272</v>
      </c>
      <c r="AI1" s="120" t="s">
        <v>273</v>
      </c>
      <c r="AJ1" s="120" t="s">
        <v>274</v>
      </c>
      <c r="AK1" s="120" t="s">
        <v>275</v>
      </c>
      <c r="AL1" s="120" t="s">
        <v>276</v>
      </c>
      <c r="AM1" s="120" t="s">
        <v>277</v>
      </c>
      <c r="AN1" s="120" t="s">
        <v>278</v>
      </c>
      <c r="AO1" s="120" t="s">
        <v>279</v>
      </c>
      <c r="AP1" s="120" t="s">
        <v>280</v>
      </c>
      <c r="AQ1" s="120" t="s">
        <v>281</v>
      </c>
      <c r="AR1" s="120" t="s">
        <v>282</v>
      </c>
      <c r="AS1" s="120" t="s">
        <v>283</v>
      </c>
      <c r="AT1" s="120" t="s">
        <v>284</v>
      </c>
      <c r="AU1" s="120" t="s">
        <v>285</v>
      </c>
      <c r="AV1" s="120" t="s">
        <v>286</v>
      </c>
      <c r="AW1" s="120" t="s">
        <v>287</v>
      </c>
      <c r="AX1" s="120" t="s">
        <v>288</v>
      </c>
      <c r="AY1" s="120" t="s">
        <v>289</v>
      </c>
      <c r="AZ1" s="120" t="s">
        <v>290</v>
      </c>
      <c r="BA1" s="120" t="s">
        <v>291</v>
      </c>
      <c r="BB1" s="120" t="s">
        <v>292</v>
      </c>
      <c r="BC1" s="120" t="s">
        <v>293</v>
      </c>
      <c r="BD1" s="120" t="s">
        <v>294</v>
      </c>
      <c r="BE1" s="120" t="s">
        <v>295</v>
      </c>
      <c r="BF1" s="120" t="s">
        <v>296</v>
      </c>
      <c r="BG1" s="120" t="s">
        <v>297</v>
      </c>
      <c r="BH1" s="120" t="s">
        <v>298</v>
      </c>
      <c r="BI1" s="120" t="s">
        <v>299</v>
      </c>
      <c r="BJ1" s="120" t="s">
        <v>300</v>
      </c>
      <c r="BK1" s="120" t="s">
        <v>301</v>
      </c>
      <c r="BL1" s="120" t="s">
        <v>302</v>
      </c>
      <c r="BM1" s="120" t="s">
        <v>303</v>
      </c>
      <c r="BN1" s="120" t="s">
        <v>304</v>
      </c>
    </row>
    <row r="2" spans="1:66" ht="15.6" x14ac:dyDescent="0.3">
      <c r="A2" s="123" t="s">
        <v>368</v>
      </c>
      <c r="B2" s="151" t="s">
        <v>655</v>
      </c>
      <c r="C2" s="151" t="s">
        <v>306</v>
      </c>
      <c r="D2" s="151" t="s">
        <v>656</v>
      </c>
      <c r="E2" s="151" t="s">
        <v>657</v>
      </c>
      <c r="F2" s="151" t="s">
        <v>658</v>
      </c>
      <c r="G2" s="151" t="s">
        <v>308</v>
      </c>
      <c r="H2" s="151" t="s">
        <v>309</v>
      </c>
      <c r="I2" s="151"/>
      <c r="J2" s="151" t="s">
        <v>659</v>
      </c>
      <c r="K2" s="127" t="s">
        <v>660</v>
      </c>
      <c r="L2" s="151"/>
      <c r="M2" s="151" t="s">
        <v>312</v>
      </c>
      <c r="N2" s="151" t="s">
        <v>312</v>
      </c>
      <c r="O2" s="151" t="s">
        <v>312</v>
      </c>
      <c r="P2" s="151" t="s">
        <v>661</v>
      </c>
      <c r="Q2" s="151" t="s">
        <v>662</v>
      </c>
      <c r="R2" s="151" t="s">
        <v>663</v>
      </c>
      <c r="S2" s="151" t="s">
        <v>316</v>
      </c>
      <c r="T2" s="151" t="s">
        <v>317</v>
      </c>
      <c r="U2" s="151" t="s">
        <v>318</v>
      </c>
      <c r="V2" s="151" t="s">
        <v>43</v>
      </c>
      <c r="W2" s="151" t="s">
        <v>312</v>
      </c>
      <c r="X2" s="151">
        <v>2025</v>
      </c>
      <c r="Y2" s="151">
        <v>2025</v>
      </c>
      <c r="Z2" s="151" t="s">
        <v>319</v>
      </c>
      <c r="AA2" s="151" t="s">
        <v>356</v>
      </c>
      <c r="AB2" s="151" t="s">
        <v>357</v>
      </c>
      <c r="AC2" s="151" t="s">
        <v>312</v>
      </c>
      <c r="AD2" s="151" t="s">
        <v>312</v>
      </c>
      <c r="AE2" s="151" t="s">
        <v>664</v>
      </c>
      <c r="AF2" s="151" t="s">
        <v>664</v>
      </c>
      <c r="AG2" s="151" t="s">
        <v>664</v>
      </c>
      <c r="AH2" s="151" t="s">
        <v>323</v>
      </c>
      <c r="AI2" s="151"/>
      <c r="AJ2" s="151" t="s">
        <v>324</v>
      </c>
      <c r="AK2" s="151"/>
      <c r="AL2" s="151" t="s">
        <v>325</v>
      </c>
      <c r="AM2" s="151" t="s">
        <v>326</v>
      </c>
      <c r="AN2" s="151"/>
      <c r="AO2" s="151"/>
      <c r="AP2" s="151" t="s">
        <v>327</v>
      </c>
      <c r="AQ2" s="151" t="s">
        <v>328</v>
      </c>
      <c r="AR2" s="151" t="s">
        <v>159</v>
      </c>
      <c r="AS2" s="151" t="s">
        <v>329</v>
      </c>
      <c r="AT2" s="151" t="s">
        <v>159</v>
      </c>
      <c r="AU2" s="151" t="s">
        <v>314</v>
      </c>
      <c r="AV2" s="151" t="s">
        <v>330</v>
      </c>
      <c r="AW2" s="151"/>
      <c r="AX2" s="151" t="s">
        <v>331</v>
      </c>
      <c r="AY2" s="151"/>
      <c r="AZ2" s="151"/>
      <c r="BA2" s="151" t="s">
        <v>332</v>
      </c>
      <c r="BB2" s="151" t="s">
        <v>333</v>
      </c>
      <c r="BC2" s="151" t="s">
        <v>334</v>
      </c>
      <c r="BD2" s="151" t="s">
        <v>335</v>
      </c>
      <c r="BE2" s="151"/>
      <c r="BF2" s="151"/>
      <c r="BG2" s="151"/>
      <c r="BH2" s="151"/>
      <c r="BI2" s="151"/>
      <c r="BJ2" s="151"/>
      <c r="BK2" s="151"/>
      <c r="BL2" s="151"/>
      <c r="BM2" s="151" t="s">
        <v>312</v>
      </c>
      <c r="BN2" s="151"/>
    </row>
    <row r="3" spans="1:66" x14ac:dyDescent="0.3">
      <c r="A3" s="123" t="s">
        <v>305</v>
      </c>
      <c r="B3" t="s">
        <v>118</v>
      </c>
      <c r="C3" t="s">
        <v>337</v>
      </c>
      <c r="D3" t="s">
        <v>207</v>
      </c>
      <c r="E3" t="s">
        <v>413</v>
      </c>
      <c r="F3" t="s">
        <v>414</v>
      </c>
      <c r="G3" t="s">
        <v>308</v>
      </c>
      <c r="H3" t="s">
        <v>309</v>
      </c>
      <c r="J3" t="s">
        <v>415</v>
      </c>
      <c r="K3" t="s">
        <v>29</v>
      </c>
      <c r="M3" t="s">
        <v>312</v>
      </c>
      <c r="N3" t="s">
        <v>312</v>
      </c>
      <c r="O3" t="s">
        <v>312</v>
      </c>
      <c r="P3" t="s">
        <v>416</v>
      </c>
      <c r="Q3" t="s">
        <v>314</v>
      </c>
      <c r="R3" t="s">
        <v>417</v>
      </c>
      <c r="S3" t="s">
        <v>316</v>
      </c>
      <c r="T3" t="s">
        <v>317</v>
      </c>
      <c r="U3" t="s">
        <v>318</v>
      </c>
      <c r="V3" t="s">
        <v>43</v>
      </c>
      <c r="W3" t="s">
        <v>43</v>
      </c>
      <c r="X3">
        <v>2025</v>
      </c>
      <c r="Y3">
        <v>2008</v>
      </c>
      <c r="Z3" t="s">
        <v>319</v>
      </c>
      <c r="AA3" t="s">
        <v>356</v>
      </c>
      <c r="AB3" t="s">
        <v>357</v>
      </c>
      <c r="AC3" t="s">
        <v>312</v>
      </c>
      <c r="AD3" t="s">
        <v>312</v>
      </c>
      <c r="AE3" t="s">
        <v>418</v>
      </c>
      <c r="AF3" t="s">
        <v>418</v>
      </c>
      <c r="AG3" t="s">
        <v>418</v>
      </c>
      <c r="AH3" t="s">
        <v>323</v>
      </c>
      <c r="AI3" t="s">
        <v>419</v>
      </c>
      <c r="AJ3" t="s">
        <v>324</v>
      </c>
      <c r="AL3" t="s">
        <v>325</v>
      </c>
      <c r="AM3" t="s">
        <v>326</v>
      </c>
      <c r="AP3" t="s">
        <v>327</v>
      </c>
      <c r="AQ3" t="s">
        <v>328</v>
      </c>
      <c r="AR3" t="s">
        <v>159</v>
      </c>
      <c r="AS3" t="s">
        <v>329</v>
      </c>
      <c r="AT3" t="s">
        <v>159</v>
      </c>
      <c r="AU3" t="s">
        <v>314</v>
      </c>
      <c r="AV3" t="s">
        <v>330</v>
      </c>
      <c r="AX3" t="s">
        <v>331</v>
      </c>
      <c r="BA3" t="s">
        <v>332</v>
      </c>
      <c r="BB3" t="s">
        <v>333</v>
      </c>
      <c r="BC3" t="s">
        <v>334</v>
      </c>
      <c r="BD3" t="s">
        <v>335</v>
      </c>
      <c r="BM3" t="s">
        <v>312</v>
      </c>
      <c r="BN3" t="s">
        <v>336</v>
      </c>
    </row>
    <row r="4" spans="1:66" x14ac:dyDescent="0.3">
      <c r="A4" s="123" t="s">
        <v>305</v>
      </c>
      <c r="B4" t="s">
        <v>144</v>
      </c>
      <c r="C4" t="s">
        <v>306</v>
      </c>
      <c r="D4" t="s">
        <v>72</v>
      </c>
      <c r="E4" t="s">
        <v>46</v>
      </c>
      <c r="F4" t="s">
        <v>420</v>
      </c>
      <c r="G4" t="s">
        <v>421</v>
      </c>
      <c r="H4" t="s">
        <v>309</v>
      </c>
      <c r="J4" t="s">
        <v>422</v>
      </c>
      <c r="K4" t="s">
        <v>47</v>
      </c>
      <c r="L4" t="s">
        <v>385</v>
      </c>
      <c r="M4" t="s">
        <v>576</v>
      </c>
      <c r="N4" t="s">
        <v>312</v>
      </c>
      <c r="O4" t="s">
        <v>387</v>
      </c>
      <c r="P4" t="s">
        <v>423</v>
      </c>
      <c r="Q4" t="s">
        <v>314</v>
      </c>
      <c r="R4" t="s">
        <v>424</v>
      </c>
      <c r="S4" t="s">
        <v>388</v>
      </c>
      <c r="T4" t="s">
        <v>317</v>
      </c>
      <c r="U4" t="s">
        <v>318</v>
      </c>
      <c r="V4" t="s">
        <v>43</v>
      </c>
      <c r="W4" t="s">
        <v>43</v>
      </c>
      <c r="X4">
        <v>2025</v>
      </c>
      <c r="Y4">
        <v>2022</v>
      </c>
      <c r="Z4" t="s">
        <v>319</v>
      </c>
      <c r="AA4" t="s">
        <v>399</v>
      </c>
      <c r="AB4" t="s">
        <v>399</v>
      </c>
      <c r="AC4" t="s">
        <v>312</v>
      </c>
      <c r="AD4" t="s">
        <v>312</v>
      </c>
      <c r="AE4" t="s">
        <v>418</v>
      </c>
      <c r="AF4" t="s">
        <v>418</v>
      </c>
      <c r="AG4" t="s">
        <v>418</v>
      </c>
      <c r="AH4" t="s">
        <v>323</v>
      </c>
      <c r="AJ4" t="s">
        <v>390</v>
      </c>
      <c r="AL4" t="s">
        <v>325</v>
      </c>
      <c r="AM4" t="s">
        <v>326</v>
      </c>
      <c r="AP4" t="s">
        <v>327</v>
      </c>
      <c r="AQ4" t="s">
        <v>328</v>
      </c>
      <c r="AR4" t="s">
        <v>159</v>
      </c>
      <c r="AS4" t="s">
        <v>329</v>
      </c>
      <c r="AT4" t="s">
        <v>159</v>
      </c>
      <c r="AU4" t="s">
        <v>314</v>
      </c>
      <c r="AV4" t="s">
        <v>330</v>
      </c>
      <c r="AX4" t="s">
        <v>331</v>
      </c>
      <c r="BA4" t="s">
        <v>332</v>
      </c>
      <c r="BB4" t="s">
        <v>333</v>
      </c>
      <c r="BC4" t="s">
        <v>334</v>
      </c>
      <c r="BD4" t="s">
        <v>335</v>
      </c>
      <c r="BE4" t="s">
        <v>72</v>
      </c>
      <c r="BF4" t="s">
        <v>145</v>
      </c>
      <c r="BG4" t="s">
        <v>425</v>
      </c>
      <c r="BH4" t="s">
        <v>47</v>
      </c>
      <c r="BM4" t="s">
        <v>312</v>
      </c>
      <c r="BN4" t="s">
        <v>336</v>
      </c>
    </row>
    <row r="5" spans="1:66" x14ac:dyDescent="0.3">
      <c r="A5" s="123" t="s">
        <v>305</v>
      </c>
      <c r="B5" t="s">
        <v>164</v>
      </c>
      <c r="C5" t="s">
        <v>337</v>
      </c>
      <c r="D5" t="s">
        <v>73</v>
      </c>
      <c r="E5" t="s">
        <v>74</v>
      </c>
      <c r="F5" t="s">
        <v>432</v>
      </c>
      <c r="G5" t="s">
        <v>308</v>
      </c>
      <c r="H5" t="s">
        <v>309</v>
      </c>
      <c r="J5" t="s">
        <v>433</v>
      </c>
      <c r="K5" t="s">
        <v>75</v>
      </c>
      <c r="M5" t="s">
        <v>312</v>
      </c>
      <c r="N5" t="s">
        <v>312</v>
      </c>
      <c r="O5" t="s">
        <v>312</v>
      </c>
      <c r="P5" t="s">
        <v>428</v>
      </c>
      <c r="Q5" t="s">
        <v>429</v>
      </c>
      <c r="R5" t="s">
        <v>430</v>
      </c>
      <c r="S5" t="s">
        <v>316</v>
      </c>
      <c r="T5" t="s">
        <v>317</v>
      </c>
      <c r="U5" t="s">
        <v>318</v>
      </c>
      <c r="V5" t="s">
        <v>43</v>
      </c>
      <c r="W5" t="s">
        <v>43</v>
      </c>
      <c r="X5">
        <v>2025</v>
      </c>
      <c r="Y5">
        <v>2023</v>
      </c>
      <c r="Z5" t="s">
        <v>319</v>
      </c>
      <c r="AA5" t="s">
        <v>320</v>
      </c>
      <c r="AB5" t="s">
        <v>321</v>
      </c>
      <c r="AC5" t="s">
        <v>312</v>
      </c>
      <c r="AD5" t="s">
        <v>312</v>
      </c>
      <c r="AE5" t="s">
        <v>431</v>
      </c>
      <c r="AF5" t="s">
        <v>431</v>
      </c>
      <c r="AG5" t="s">
        <v>431</v>
      </c>
      <c r="AH5" t="s">
        <v>323</v>
      </c>
      <c r="AI5" t="s">
        <v>419</v>
      </c>
      <c r="AJ5" t="s">
        <v>324</v>
      </c>
      <c r="AL5" t="s">
        <v>325</v>
      </c>
      <c r="AM5" t="s">
        <v>326</v>
      </c>
      <c r="AP5" t="s">
        <v>327</v>
      </c>
      <c r="AQ5" t="s">
        <v>328</v>
      </c>
      <c r="AR5" t="s">
        <v>159</v>
      </c>
      <c r="AS5" t="s">
        <v>329</v>
      </c>
      <c r="AT5" t="s">
        <v>159</v>
      </c>
      <c r="AU5" t="s">
        <v>314</v>
      </c>
      <c r="AV5" t="s">
        <v>330</v>
      </c>
      <c r="AX5" t="s">
        <v>331</v>
      </c>
      <c r="BA5" t="s">
        <v>332</v>
      </c>
      <c r="BB5" t="s">
        <v>333</v>
      </c>
      <c r="BC5" t="s">
        <v>334</v>
      </c>
      <c r="BD5" t="s">
        <v>335</v>
      </c>
      <c r="BM5" t="s">
        <v>312</v>
      </c>
      <c r="BN5" t="s">
        <v>336</v>
      </c>
    </row>
    <row r="6" spans="1:66" ht="15.6" x14ac:dyDescent="0.3">
      <c r="A6" s="123" t="s">
        <v>368</v>
      </c>
      <c r="B6" s="151" t="s">
        <v>605</v>
      </c>
      <c r="C6" s="151" t="s">
        <v>306</v>
      </c>
      <c r="D6" s="151" t="s">
        <v>606</v>
      </c>
      <c r="E6" s="151" t="s">
        <v>371</v>
      </c>
      <c r="F6" s="151" t="s">
        <v>607</v>
      </c>
      <c r="G6" s="151" t="s">
        <v>308</v>
      </c>
      <c r="H6" s="151" t="s">
        <v>309</v>
      </c>
      <c r="I6" s="151"/>
      <c r="J6" s="151" t="s">
        <v>608</v>
      </c>
      <c r="K6" s="151" t="s">
        <v>609</v>
      </c>
      <c r="L6" s="151"/>
      <c r="M6" s="151" t="s">
        <v>312</v>
      </c>
      <c r="N6" s="151" t="s">
        <v>312</v>
      </c>
      <c r="O6" s="151" t="s">
        <v>312</v>
      </c>
      <c r="P6" s="151" t="s">
        <v>610</v>
      </c>
      <c r="Q6" s="151" t="s">
        <v>314</v>
      </c>
      <c r="R6" s="151" t="s">
        <v>611</v>
      </c>
      <c r="S6" s="151" t="s">
        <v>316</v>
      </c>
      <c r="T6" s="151" t="s">
        <v>317</v>
      </c>
      <c r="U6" s="151" t="s">
        <v>318</v>
      </c>
      <c r="V6" s="151" t="s">
        <v>43</v>
      </c>
      <c r="W6" s="151" t="s">
        <v>43</v>
      </c>
      <c r="X6" s="151">
        <v>2025</v>
      </c>
      <c r="Y6" s="151">
        <v>2025</v>
      </c>
      <c r="Z6" s="151" t="s">
        <v>319</v>
      </c>
      <c r="AA6" s="151" t="s">
        <v>347</v>
      </c>
      <c r="AB6" s="151" t="s">
        <v>348</v>
      </c>
      <c r="AC6" s="151" t="s">
        <v>312</v>
      </c>
      <c r="AD6" s="151" t="s">
        <v>312</v>
      </c>
      <c r="AE6" s="151" t="s">
        <v>604</v>
      </c>
      <c r="AF6" s="151" t="s">
        <v>604</v>
      </c>
      <c r="AG6" s="151" t="s">
        <v>604</v>
      </c>
      <c r="AH6" s="151" t="s">
        <v>323</v>
      </c>
      <c r="AI6" s="151"/>
      <c r="AJ6" s="151" t="s">
        <v>324</v>
      </c>
      <c r="AK6" s="151"/>
      <c r="AL6" s="151" t="s">
        <v>325</v>
      </c>
      <c r="AM6" s="151" t="s">
        <v>326</v>
      </c>
      <c r="AN6" s="151"/>
      <c r="AO6" s="151"/>
      <c r="AP6" s="151" t="s">
        <v>327</v>
      </c>
      <c r="AQ6" s="151" t="s">
        <v>328</v>
      </c>
      <c r="AR6" s="151" t="s">
        <v>159</v>
      </c>
      <c r="AS6" s="151" t="s">
        <v>329</v>
      </c>
      <c r="AT6" s="151" t="s">
        <v>159</v>
      </c>
      <c r="AU6" s="151" t="s">
        <v>314</v>
      </c>
      <c r="AV6" s="151" t="s">
        <v>330</v>
      </c>
      <c r="AW6" s="151"/>
      <c r="AX6" s="151" t="s">
        <v>331</v>
      </c>
      <c r="AY6" s="151"/>
      <c r="AZ6" s="151"/>
      <c r="BA6" s="151" t="s">
        <v>332</v>
      </c>
      <c r="BB6" s="151" t="s">
        <v>333</v>
      </c>
      <c r="BC6" s="151" t="s">
        <v>334</v>
      </c>
      <c r="BD6" s="151" t="s">
        <v>335</v>
      </c>
      <c r="BE6" s="151"/>
      <c r="BF6" s="151"/>
      <c r="BG6" s="151"/>
      <c r="BH6" s="151"/>
      <c r="BI6" s="151"/>
      <c r="BJ6" s="151"/>
      <c r="BK6" s="151"/>
      <c r="BL6" s="151"/>
      <c r="BM6" s="151" t="s">
        <v>312</v>
      </c>
      <c r="BN6" s="151"/>
    </row>
    <row r="7" spans="1:66" x14ac:dyDescent="0.3">
      <c r="A7" s="123" t="s">
        <v>305</v>
      </c>
      <c r="B7" s="125" t="s">
        <v>124</v>
      </c>
      <c r="C7" s="125" t="s">
        <v>306</v>
      </c>
      <c r="D7" s="125" t="s">
        <v>107</v>
      </c>
      <c r="E7" s="125" t="s">
        <v>108</v>
      </c>
      <c r="F7" s="125" t="s">
        <v>402</v>
      </c>
      <c r="G7" s="125" t="s">
        <v>308</v>
      </c>
      <c r="H7" s="125" t="s">
        <v>309</v>
      </c>
      <c r="I7" s="125"/>
      <c r="J7" s="125" t="s">
        <v>403</v>
      </c>
      <c r="K7" s="125" t="s">
        <v>109</v>
      </c>
      <c r="L7" s="125"/>
      <c r="M7" s="125" t="s">
        <v>312</v>
      </c>
      <c r="N7" s="125" t="s">
        <v>312</v>
      </c>
      <c r="O7" s="125" t="s">
        <v>312</v>
      </c>
      <c r="P7" s="125" t="s">
        <v>404</v>
      </c>
      <c r="Q7" s="125" t="s">
        <v>314</v>
      </c>
      <c r="R7" s="125" t="s">
        <v>159</v>
      </c>
      <c r="S7" s="125" t="s">
        <v>316</v>
      </c>
      <c r="T7" s="125" t="s">
        <v>317</v>
      </c>
      <c r="U7" s="125" t="s">
        <v>318</v>
      </c>
      <c r="V7" s="125" t="s">
        <v>43</v>
      </c>
      <c r="W7" s="125" t="s">
        <v>43</v>
      </c>
      <c r="X7" s="125">
        <v>2025</v>
      </c>
      <c r="Y7" s="125">
        <v>2024</v>
      </c>
      <c r="Z7" s="125" t="s">
        <v>319</v>
      </c>
      <c r="AA7" s="125" t="s">
        <v>356</v>
      </c>
      <c r="AB7" s="125" t="s">
        <v>357</v>
      </c>
      <c r="AC7" s="125" t="s">
        <v>312</v>
      </c>
      <c r="AD7" s="125" t="s">
        <v>312</v>
      </c>
      <c r="AE7" s="125" t="s">
        <v>405</v>
      </c>
      <c r="AF7" s="125" t="s">
        <v>405</v>
      </c>
      <c r="AG7" s="125" t="s">
        <v>405</v>
      </c>
      <c r="AH7" s="125" t="s">
        <v>323</v>
      </c>
      <c r="AI7" s="125"/>
      <c r="AJ7" s="125" t="s">
        <v>324</v>
      </c>
      <c r="AK7" s="125"/>
      <c r="AL7" s="125" t="s">
        <v>325</v>
      </c>
      <c r="AM7" s="125" t="s">
        <v>326</v>
      </c>
      <c r="AN7" s="125"/>
      <c r="AO7" s="125"/>
      <c r="AP7" s="125" t="s">
        <v>327</v>
      </c>
      <c r="AQ7" s="125" t="s">
        <v>328</v>
      </c>
      <c r="AR7" s="125" t="s">
        <v>159</v>
      </c>
      <c r="AS7" s="125" t="s">
        <v>329</v>
      </c>
      <c r="AT7" s="125" t="s">
        <v>159</v>
      </c>
      <c r="AU7" s="125" t="s">
        <v>314</v>
      </c>
      <c r="AV7" s="125" t="s">
        <v>330</v>
      </c>
      <c r="AW7" s="125"/>
      <c r="AX7" s="125" t="s">
        <v>331</v>
      </c>
      <c r="AY7" s="125"/>
      <c r="AZ7" s="125"/>
      <c r="BA7" s="125" t="s">
        <v>332</v>
      </c>
      <c r="BB7" s="125" t="s">
        <v>333</v>
      </c>
      <c r="BC7" s="125" t="s">
        <v>334</v>
      </c>
      <c r="BD7" s="125" t="s">
        <v>335</v>
      </c>
      <c r="BE7" s="125"/>
      <c r="BF7" s="125"/>
      <c r="BG7" s="125"/>
      <c r="BH7" s="125"/>
      <c r="BI7" s="125"/>
      <c r="BJ7" s="125"/>
      <c r="BK7" s="125"/>
      <c r="BL7" s="125"/>
      <c r="BM7" s="125" t="s">
        <v>312</v>
      </c>
      <c r="BN7" s="125"/>
    </row>
    <row r="8" spans="1:66" x14ac:dyDescent="0.3">
      <c r="A8" s="123" t="s">
        <v>305</v>
      </c>
      <c r="B8" s="125" t="s">
        <v>122</v>
      </c>
      <c r="C8" s="125" t="s">
        <v>306</v>
      </c>
      <c r="D8" s="125" t="s">
        <v>117</v>
      </c>
      <c r="E8" s="125" t="s">
        <v>76</v>
      </c>
      <c r="F8" s="125" t="s">
        <v>165</v>
      </c>
      <c r="G8" s="125" t="s">
        <v>308</v>
      </c>
      <c r="H8" s="125" t="s">
        <v>309</v>
      </c>
      <c r="I8" s="125"/>
      <c r="J8" s="125" t="s">
        <v>397</v>
      </c>
      <c r="K8" s="125" t="s">
        <v>168</v>
      </c>
      <c r="L8" s="125" t="s">
        <v>387</v>
      </c>
      <c r="M8" s="125" t="s">
        <v>312</v>
      </c>
      <c r="N8" s="125" t="s">
        <v>312</v>
      </c>
      <c r="O8" s="125" t="s">
        <v>312</v>
      </c>
      <c r="P8" s="125" t="s">
        <v>398</v>
      </c>
      <c r="Q8" s="125" t="s">
        <v>314</v>
      </c>
      <c r="R8" s="125" t="s">
        <v>159</v>
      </c>
      <c r="S8" s="125" t="s">
        <v>388</v>
      </c>
      <c r="T8" s="125" t="s">
        <v>317</v>
      </c>
      <c r="U8" s="125" t="s">
        <v>318</v>
      </c>
      <c r="V8" s="125" t="s">
        <v>43</v>
      </c>
      <c r="W8" s="125" t="s">
        <v>43</v>
      </c>
      <c r="X8" s="125">
        <v>2025</v>
      </c>
      <c r="Y8" s="125">
        <v>2023</v>
      </c>
      <c r="Z8" s="125" t="s">
        <v>319</v>
      </c>
      <c r="AA8" s="125" t="s">
        <v>399</v>
      </c>
      <c r="AB8" s="125" t="s">
        <v>399</v>
      </c>
      <c r="AC8" s="125" t="s">
        <v>312</v>
      </c>
      <c r="AD8" s="125" t="s">
        <v>312</v>
      </c>
      <c r="AE8" s="125" t="s">
        <v>400</v>
      </c>
      <c r="AF8" s="125" t="s">
        <v>400</v>
      </c>
      <c r="AG8" s="125" t="s">
        <v>400</v>
      </c>
      <c r="AH8" s="125" t="s">
        <v>323</v>
      </c>
      <c r="AI8" s="125"/>
      <c r="AJ8" s="125" t="s">
        <v>390</v>
      </c>
      <c r="AK8" s="125"/>
      <c r="AL8" s="125" t="s">
        <v>325</v>
      </c>
      <c r="AM8" s="125" t="s">
        <v>326</v>
      </c>
      <c r="AN8" s="125"/>
      <c r="AO8" s="125"/>
      <c r="AP8" s="125" t="s">
        <v>327</v>
      </c>
      <c r="AQ8" s="125" t="s">
        <v>328</v>
      </c>
      <c r="AR8" s="125" t="s">
        <v>159</v>
      </c>
      <c r="AS8" s="125" t="s">
        <v>329</v>
      </c>
      <c r="AT8" s="125" t="s">
        <v>159</v>
      </c>
      <c r="AU8" s="125" t="s">
        <v>314</v>
      </c>
      <c r="AV8" s="125" t="s">
        <v>330</v>
      </c>
      <c r="AW8" s="125"/>
      <c r="AX8" s="125" t="s">
        <v>331</v>
      </c>
      <c r="AY8" s="125"/>
      <c r="AZ8" s="125"/>
      <c r="BA8" s="125" t="s">
        <v>332</v>
      </c>
      <c r="BB8" s="125" t="s">
        <v>333</v>
      </c>
      <c r="BC8" s="125" t="s">
        <v>334</v>
      </c>
      <c r="BD8" s="125" t="s">
        <v>335</v>
      </c>
      <c r="BE8" s="125" t="s">
        <v>166</v>
      </c>
      <c r="BF8" s="125" t="s">
        <v>167</v>
      </c>
      <c r="BG8" s="125" t="s">
        <v>401</v>
      </c>
      <c r="BH8" s="125" t="s">
        <v>168</v>
      </c>
      <c r="BI8" s="125"/>
      <c r="BJ8" s="125"/>
      <c r="BK8" s="125"/>
      <c r="BL8" s="125"/>
      <c r="BM8" s="125" t="s">
        <v>312</v>
      </c>
      <c r="BN8" s="125" t="s">
        <v>336</v>
      </c>
    </row>
    <row r="9" spans="1:66" ht="15.6" x14ac:dyDescent="0.3">
      <c r="A9" s="123" t="s">
        <v>305</v>
      </c>
      <c r="B9" s="151" t="s">
        <v>201</v>
      </c>
      <c r="C9" s="151" t="s">
        <v>306</v>
      </c>
      <c r="D9" s="151" t="s">
        <v>444</v>
      </c>
      <c r="E9" s="151" t="s">
        <v>202</v>
      </c>
      <c r="F9" s="151" t="s">
        <v>446</v>
      </c>
      <c r="G9" s="151" t="s">
        <v>308</v>
      </c>
      <c r="H9" s="151" t="s">
        <v>561</v>
      </c>
      <c r="I9" s="151"/>
      <c r="J9" s="151" t="s">
        <v>562</v>
      </c>
      <c r="K9" s="151" t="s">
        <v>77</v>
      </c>
      <c r="L9" s="151"/>
      <c r="M9" s="151" t="s">
        <v>312</v>
      </c>
      <c r="N9" s="151" t="s">
        <v>312</v>
      </c>
      <c r="O9" s="151" t="s">
        <v>312</v>
      </c>
      <c r="P9" s="151" t="s">
        <v>448</v>
      </c>
      <c r="Q9" s="151" t="s">
        <v>314</v>
      </c>
      <c r="R9" s="151" t="s">
        <v>159</v>
      </c>
      <c r="S9" s="151" t="s">
        <v>378</v>
      </c>
      <c r="T9" s="151" t="s">
        <v>317</v>
      </c>
      <c r="U9" s="151" t="s">
        <v>318</v>
      </c>
      <c r="V9" s="151" t="s">
        <v>43</v>
      </c>
      <c r="W9" s="151" t="s">
        <v>43</v>
      </c>
      <c r="X9" s="151">
        <v>2025</v>
      </c>
      <c r="Y9" s="151">
        <v>2015</v>
      </c>
      <c r="Z9" s="151" t="s">
        <v>319</v>
      </c>
      <c r="AA9" s="151" t="s">
        <v>347</v>
      </c>
      <c r="AB9" s="151" t="s">
        <v>348</v>
      </c>
      <c r="AC9" s="151" t="s">
        <v>312</v>
      </c>
      <c r="AD9" s="151" t="s">
        <v>312</v>
      </c>
      <c r="AE9" s="151" t="s">
        <v>553</v>
      </c>
      <c r="AF9" s="151" t="s">
        <v>553</v>
      </c>
      <c r="AG9" s="151" t="s">
        <v>553</v>
      </c>
      <c r="AH9" s="151" t="s">
        <v>323</v>
      </c>
      <c r="AI9" s="151"/>
      <c r="AJ9" s="151" t="s">
        <v>379</v>
      </c>
      <c r="AK9" s="151"/>
      <c r="AL9" s="151" t="s">
        <v>325</v>
      </c>
      <c r="AM9" s="151" t="s">
        <v>326</v>
      </c>
      <c r="AN9" s="151"/>
      <c r="AO9" s="151"/>
      <c r="AP9" s="151" t="s">
        <v>327</v>
      </c>
      <c r="AQ9" s="151" t="s">
        <v>328</v>
      </c>
      <c r="AR9" s="151" t="s">
        <v>159</v>
      </c>
      <c r="AS9" s="151" t="s">
        <v>329</v>
      </c>
      <c r="AT9" s="151" t="s">
        <v>159</v>
      </c>
      <c r="AU9" s="151" t="s">
        <v>314</v>
      </c>
      <c r="AV9" s="151" t="s">
        <v>330</v>
      </c>
      <c r="AW9" s="151"/>
      <c r="AX9" s="151" t="s">
        <v>331</v>
      </c>
      <c r="AY9" s="151"/>
      <c r="AZ9" s="151"/>
      <c r="BA9" s="151" t="s">
        <v>332</v>
      </c>
      <c r="BB9" s="151" t="s">
        <v>333</v>
      </c>
      <c r="BC9" s="151" t="s">
        <v>334</v>
      </c>
      <c r="BD9" s="151" t="s">
        <v>335</v>
      </c>
      <c r="BE9" s="151"/>
      <c r="BF9" s="151"/>
      <c r="BG9" s="151"/>
      <c r="BH9" s="151"/>
      <c r="BI9" s="151"/>
      <c r="BJ9" s="151"/>
      <c r="BK9" s="151"/>
      <c r="BL9" s="151"/>
      <c r="BM9" s="151" t="s">
        <v>312</v>
      </c>
      <c r="BN9" s="151" t="s">
        <v>336</v>
      </c>
    </row>
    <row r="10" spans="1:66" ht="15.6" x14ac:dyDescent="0.3">
      <c r="A10" s="123" t="s">
        <v>305</v>
      </c>
      <c r="B10" s="245" t="s">
        <v>169</v>
      </c>
      <c r="C10" s="151" t="s">
        <v>337</v>
      </c>
      <c r="D10" s="151" t="s">
        <v>50</v>
      </c>
      <c r="E10" s="151" t="s">
        <v>49</v>
      </c>
      <c r="F10" s="151" t="s">
        <v>449</v>
      </c>
      <c r="G10" s="151" t="s">
        <v>308</v>
      </c>
      <c r="H10" s="151" t="s">
        <v>309</v>
      </c>
      <c r="I10" s="151"/>
      <c r="J10" s="151" t="s">
        <v>562</v>
      </c>
      <c r="K10" s="151" t="s">
        <v>77</v>
      </c>
      <c r="L10" s="151" t="s">
        <v>385</v>
      </c>
      <c r="M10" s="124" t="s">
        <v>577</v>
      </c>
      <c r="N10" s="151" t="s">
        <v>172</v>
      </c>
      <c r="O10" s="151" t="s">
        <v>387</v>
      </c>
      <c r="P10" s="151" t="s">
        <v>448</v>
      </c>
      <c r="Q10" s="151" t="s">
        <v>314</v>
      </c>
      <c r="R10" s="151" t="s">
        <v>159</v>
      </c>
      <c r="S10" s="151" t="s">
        <v>388</v>
      </c>
      <c r="T10" s="151" t="s">
        <v>317</v>
      </c>
      <c r="U10" s="151" t="s">
        <v>318</v>
      </c>
      <c r="V10" s="151" t="s">
        <v>43</v>
      </c>
      <c r="W10" s="151" t="s">
        <v>43</v>
      </c>
      <c r="X10" s="151">
        <v>2025</v>
      </c>
      <c r="Y10" s="151">
        <v>2022</v>
      </c>
      <c r="Z10" s="151" t="s">
        <v>319</v>
      </c>
      <c r="AA10" s="151" t="s">
        <v>399</v>
      </c>
      <c r="AB10" s="151" t="s">
        <v>399</v>
      </c>
      <c r="AC10" s="151" t="s">
        <v>312</v>
      </c>
      <c r="AD10" s="151" t="s">
        <v>312</v>
      </c>
      <c r="AE10" s="151" t="s">
        <v>553</v>
      </c>
      <c r="AF10" s="151" t="s">
        <v>553</v>
      </c>
      <c r="AG10" s="151" t="s">
        <v>553</v>
      </c>
      <c r="AH10" s="151" t="s">
        <v>323</v>
      </c>
      <c r="AI10" s="151"/>
      <c r="AJ10" s="151" t="s">
        <v>390</v>
      </c>
      <c r="AK10" s="151"/>
      <c r="AL10" s="151" t="s">
        <v>325</v>
      </c>
      <c r="AM10" s="151" t="s">
        <v>326</v>
      </c>
      <c r="AN10" s="151"/>
      <c r="AO10" s="151"/>
      <c r="AP10" s="151" t="s">
        <v>327</v>
      </c>
      <c r="AQ10" s="151" t="s">
        <v>328</v>
      </c>
      <c r="AR10" s="151" t="s">
        <v>159</v>
      </c>
      <c r="AS10" s="151" t="s">
        <v>329</v>
      </c>
      <c r="AT10" s="151" t="s">
        <v>159</v>
      </c>
      <c r="AU10" s="151" t="s">
        <v>314</v>
      </c>
      <c r="AV10" s="151" t="s">
        <v>330</v>
      </c>
      <c r="AW10" s="151"/>
      <c r="AX10" s="151" t="s">
        <v>331</v>
      </c>
      <c r="AY10" s="151"/>
      <c r="AZ10" s="151"/>
      <c r="BA10" s="151" t="s">
        <v>332</v>
      </c>
      <c r="BB10" s="151" t="s">
        <v>333</v>
      </c>
      <c r="BC10" s="151" t="s">
        <v>334</v>
      </c>
      <c r="BD10" s="151" t="s">
        <v>335</v>
      </c>
      <c r="BE10" s="151" t="s">
        <v>170</v>
      </c>
      <c r="BF10" s="151" t="s">
        <v>171</v>
      </c>
      <c r="BG10" s="151" t="s">
        <v>451</v>
      </c>
      <c r="BH10" s="151" t="s">
        <v>172</v>
      </c>
      <c r="BI10" s="151" t="s">
        <v>563</v>
      </c>
      <c r="BJ10" s="151" t="s">
        <v>173</v>
      </c>
      <c r="BK10" s="151" t="s">
        <v>447</v>
      </c>
      <c r="BL10" s="151" t="s">
        <v>77</v>
      </c>
      <c r="BM10" s="151" t="s">
        <v>312</v>
      </c>
      <c r="BN10" s="151" t="s">
        <v>336</v>
      </c>
    </row>
    <row r="11" spans="1:66" x14ac:dyDescent="0.3">
      <c r="A11" s="123" t="s">
        <v>305</v>
      </c>
      <c r="B11" t="s">
        <v>133</v>
      </c>
      <c r="C11" t="s">
        <v>306</v>
      </c>
      <c r="D11" t="s">
        <v>41</v>
      </c>
      <c r="E11" t="s">
        <v>40</v>
      </c>
      <c r="F11" t="s">
        <v>307</v>
      </c>
      <c r="G11" t="s">
        <v>308</v>
      </c>
      <c r="H11" t="s">
        <v>309</v>
      </c>
      <c r="I11" t="s">
        <v>310</v>
      </c>
      <c r="J11" t="s">
        <v>311</v>
      </c>
      <c r="K11" t="s">
        <v>42</v>
      </c>
      <c r="M11" s="124" t="s">
        <v>312</v>
      </c>
      <c r="N11" t="s">
        <v>312</v>
      </c>
      <c r="O11" t="s">
        <v>312</v>
      </c>
      <c r="P11" t="s">
        <v>313</v>
      </c>
      <c r="Q11" t="s">
        <v>314</v>
      </c>
      <c r="R11" t="s">
        <v>315</v>
      </c>
      <c r="S11" t="s">
        <v>316</v>
      </c>
      <c r="T11" t="s">
        <v>317</v>
      </c>
      <c r="U11" t="s">
        <v>318</v>
      </c>
      <c r="V11" t="s">
        <v>43</v>
      </c>
      <c r="W11" t="s">
        <v>43</v>
      </c>
      <c r="X11">
        <v>2025</v>
      </c>
      <c r="Y11">
        <v>2009</v>
      </c>
      <c r="Z11" t="s">
        <v>319</v>
      </c>
      <c r="AA11" t="s">
        <v>320</v>
      </c>
      <c r="AB11" t="s">
        <v>321</v>
      </c>
      <c r="AC11" t="s">
        <v>312</v>
      </c>
      <c r="AD11" t="s">
        <v>312</v>
      </c>
      <c r="AE11" t="s">
        <v>322</v>
      </c>
      <c r="AF11" t="s">
        <v>322</v>
      </c>
      <c r="AG11" t="s">
        <v>322</v>
      </c>
      <c r="AH11" t="s">
        <v>323</v>
      </c>
      <c r="AJ11" t="s">
        <v>324</v>
      </c>
      <c r="AL11" t="s">
        <v>325</v>
      </c>
      <c r="AM11" t="s">
        <v>326</v>
      </c>
      <c r="AP11" t="s">
        <v>327</v>
      </c>
      <c r="AQ11" t="s">
        <v>328</v>
      </c>
      <c r="AR11" t="s">
        <v>159</v>
      </c>
      <c r="AS11" t="s">
        <v>329</v>
      </c>
      <c r="AT11" t="s">
        <v>159</v>
      </c>
      <c r="AU11" t="s">
        <v>314</v>
      </c>
      <c r="AV11" t="s">
        <v>330</v>
      </c>
      <c r="AX11" t="s">
        <v>331</v>
      </c>
      <c r="BA11" t="s">
        <v>332</v>
      </c>
      <c r="BB11" t="s">
        <v>333</v>
      </c>
      <c r="BC11" t="s">
        <v>334</v>
      </c>
      <c r="BD11" t="s">
        <v>335</v>
      </c>
      <c r="BM11" t="s">
        <v>312</v>
      </c>
      <c r="BN11" t="s">
        <v>336</v>
      </c>
    </row>
    <row r="12" spans="1:66" ht="15.6" x14ac:dyDescent="0.3">
      <c r="A12" s="123" t="s">
        <v>368</v>
      </c>
      <c r="B12" s="151" t="s">
        <v>621</v>
      </c>
      <c r="C12" s="151" t="s">
        <v>337</v>
      </c>
      <c r="D12" s="151" t="s">
        <v>41</v>
      </c>
      <c r="E12" s="151" t="s">
        <v>622</v>
      </c>
      <c r="F12" s="151" t="s">
        <v>623</v>
      </c>
      <c r="G12" s="151" t="s">
        <v>308</v>
      </c>
      <c r="H12" s="151" t="s">
        <v>309</v>
      </c>
      <c r="I12" s="151"/>
      <c r="J12" s="151" t="s">
        <v>624</v>
      </c>
      <c r="K12" s="127" t="s">
        <v>625</v>
      </c>
      <c r="L12" s="151"/>
      <c r="M12" s="151" t="s">
        <v>312</v>
      </c>
      <c r="N12" s="151" t="s">
        <v>312</v>
      </c>
      <c r="O12" s="151" t="s">
        <v>312</v>
      </c>
      <c r="P12" s="151" t="s">
        <v>313</v>
      </c>
      <c r="Q12" s="151" t="s">
        <v>314</v>
      </c>
      <c r="R12" s="151" t="s">
        <v>315</v>
      </c>
      <c r="S12" s="151" t="s">
        <v>378</v>
      </c>
      <c r="T12" s="151" t="s">
        <v>317</v>
      </c>
      <c r="U12" s="151" t="s">
        <v>318</v>
      </c>
      <c r="V12" s="151" t="s">
        <v>43</v>
      </c>
      <c r="W12" s="151" t="s">
        <v>43</v>
      </c>
      <c r="X12" s="151">
        <v>2025</v>
      </c>
      <c r="Y12" s="151">
        <v>2025</v>
      </c>
      <c r="Z12" s="151" t="s">
        <v>319</v>
      </c>
      <c r="AA12" s="151" t="s">
        <v>347</v>
      </c>
      <c r="AB12" s="151" t="s">
        <v>348</v>
      </c>
      <c r="AC12" s="151" t="s">
        <v>312</v>
      </c>
      <c r="AD12" s="151" t="s">
        <v>312</v>
      </c>
      <c r="AE12" s="151" t="s">
        <v>604</v>
      </c>
      <c r="AF12" s="151" t="s">
        <v>604</v>
      </c>
      <c r="AG12" s="151" t="s">
        <v>604</v>
      </c>
      <c r="AH12" s="151" t="s">
        <v>323</v>
      </c>
      <c r="AI12" s="151"/>
      <c r="AJ12" s="151" t="s">
        <v>379</v>
      </c>
      <c r="AK12" s="151"/>
      <c r="AL12" s="151" t="s">
        <v>325</v>
      </c>
      <c r="AM12" s="151" t="s">
        <v>326</v>
      </c>
      <c r="AN12" s="151"/>
      <c r="AO12" s="151"/>
      <c r="AP12" s="151" t="s">
        <v>327</v>
      </c>
      <c r="AQ12" s="151" t="s">
        <v>328</v>
      </c>
      <c r="AR12" s="151" t="s">
        <v>159</v>
      </c>
      <c r="AS12" s="151" t="s">
        <v>329</v>
      </c>
      <c r="AT12" s="151" t="s">
        <v>159</v>
      </c>
      <c r="AU12" s="151" t="s">
        <v>314</v>
      </c>
      <c r="AV12" s="151" t="s">
        <v>330</v>
      </c>
      <c r="AW12" s="151"/>
      <c r="AX12" s="151" t="s">
        <v>331</v>
      </c>
      <c r="AY12" s="151"/>
      <c r="AZ12" s="151"/>
      <c r="BA12" s="151" t="s">
        <v>332</v>
      </c>
      <c r="BB12" s="151" t="s">
        <v>333</v>
      </c>
      <c r="BC12" s="151" t="s">
        <v>334</v>
      </c>
      <c r="BD12" s="151" t="s">
        <v>335</v>
      </c>
      <c r="BE12" s="151"/>
      <c r="BF12" s="151"/>
      <c r="BG12" s="151"/>
      <c r="BH12" s="151"/>
      <c r="BI12" s="151"/>
      <c r="BJ12" s="151"/>
      <c r="BK12" s="151"/>
      <c r="BL12" s="151"/>
      <c r="BM12" s="151" t="s">
        <v>312</v>
      </c>
      <c r="BN12" s="151"/>
    </row>
    <row r="13" spans="1:66" x14ac:dyDescent="0.3">
      <c r="A13" s="123" t="s">
        <v>305</v>
      </c>
      <c r="B13" t="s">
        <v>174</v>
      </c>
      <c r="C13" t="s">
        <v>306</v>
      </c>
      <c r="D13" t="s">
        <v>65</v>
      </c>
      <c r="E13" t="s">
        <v>78</v>
      </c>
      <c r="F13" t="s">
        <v>426</v>
      </c>
      <c r="G13" t="s">
        <v>308</v>
      </c>
      <c r="H13" t="s">
        <v>309</v>
      </c>
      <c r="J13" t="s">
        <v>427</v>
      </c>
      <c r="K13" t="s">
        <v>79</v>
      </c>
      <c r="M13" t="s">
        <v>312</v>
      </c>
      <c r="N13" t="s">
        <v>312</v>
      </c>
      <c r="O13" t="s">
        <v>312</v>
      </c>
      <c r="P13" t="s">
        <v>428</v>
      </c>
      <c r="Q13" t="s">
        <v>429</v>
      </c>
      <c r="R13" t="s">
        <v>430</v>
      </c>
      <c r="S13" t="s">
        <v>316</v>
      </c>
      <c r="T13" t="s">
        <v>317</v>
      </c>
      <c r="U13" t="s">
        <v>318</v>
      </c>
      <c r="V13" t="s">
        <v>43</v>
      </c>
      <c r="W13" t="s">
        <v>43</v>
      </c>
      <c r="X13">
        <v>2025</v>
      </c>
      <c r="Y13">
        <v>2023</v>
      </c>
      <c r="Z13" t="s">
        <v>319</v>
      </c>
      <c r="AA13" t="s">
        <v>320</v>
      </c>
      <c r="AB13" t="s">
        <v>321</v>
      </c>
      <c r="AC13" t="s">
        <v>312</v>
      </c>
      <c r="AD13" t="s">
        <v>312</v>
      </c>
      <c r="AE13" t="s">
        <v>431</v>
      </c>
      <c r="AF13" t="s">
        <v>431</v>
      </c>
      <c r="AG13" t="s">
        <v>431</v>
      </c>
      <c r="AH13" t="s">
        <v>323</v>
      </c>
      <c r="AI13" t="s">
        <v>419</v>
      </c>
      <c r="AJ13" t="s">
        <v>324</v>
      </c>
      <c r="AL13" t="s">
        <v>325</v>
      </c>
      <c r="AM13" t="s">
        <v>326</v>
      </c>
      <c r="AP13" t="s">
        <v>327</v>
      </c>
      <c r="AQ13" t="s">
        <v>328</v>
      </c>
      <c r="AR13" t="s">
        <v>159</v>
      </c>
      <c r="AS13" t="s">
        <v>329</v>
      </c>
      <c r="AT13" t="s">
        <v>159</v>
      </c>
      <c r="AU13" t="s">
        <v>314</v>
      </c>
      <c r="AV13" t="s">
        <v>330</v>
      </c>
      <c r="AX13" t="s">
        <v>331</v>
      </c>
      <c r="BA13" t="s">
        <v>332</v>
      </c>
      <c r="BB13" t="s">
        <v>333</v>
      </c>
      <c r="BC13" t="s">
        <v>334</v>
      </c>
      <c r="BD13" t="s">
        <v>335</v>
      </c>
      <c r="BM13" t="s">
        <v>312</v>
      </c>
      <c r="BN13" t="s">
        <v>336</v>
      </c>
    </row>
    <row r="14" spans="1:66" ht="15.6" x14ac:dyDescent="0.3">
      <c r="A14" s="123" t="s">
        <v>305</v>
      </c>
      <c r="B14" s="151" t="s">
        <v>554</v>
      </c>
      <c r="C14" s="151" t="s">
        <v>337</v>
      </c>
      <c r="D14" s="151" t="s">
        <v>555</v>
      </c>
      <c r="E14" s="151" t="s">
        <v>556</v>
      </c>
      <c r="F14" s="151" t="s">
        <v>557</v>
      </c>
      <c r="G14" s="151" t="s">
        <v>308</v>
      </c>
      <c r="H14" s="151" t="s">
        <v>309</v>
      </c>
      <c r="I14" s="151"/>
      <c r="J14" s="151" t="s">
        <v>558</v>
      </c>
      <c r="K14" s="151" t="s">
        <v>559</v>
      </c>
      <c r="L14" s="151"/>
      <c r="M14" s="151" t="s">
        <v>312</v>
      </c>
      <c r="N14" s="151" t="s">
        <v>312</v>
      </c>
      <c r="O14" s="151" t="s">
        <v>312</v>
      </c>
      <c r="P14" s="151" t="s">
        <v>560</v>
      </c>
      <c r="Q14" s="151" t="s">
        <v>314</v>
      </c>
      <c r="R14" s="151" t="s">
        <v>424</v>
      </c>
      <c r="S14" s="151" t="s">
        <v>316</v>
      </c>
      <c r="T14" s="151" t="s">
        <v>317</v>
      </c>
      <c r="U14" s="151" t="s">
        <v>318</v>
      </c>
      <c r="V14" s="151" t="s">
        <v>43</v>
      </c>
      <c r="W14" s="151" t="s">
        <v>43</v>
      </c>
      <c r="X14" s="151">
        <v>2025</v>
      </c>
      <c r="Y14" s="151">
        <v>2022</v>
      </c>
      <c r="Z14" s="151" t="s">
        <v>319</v>
      </c>
      <c r="AA14" s="151" t="s">
        <v>347</v>
      </c>
      <c r="AB14" s="151" t="s">
        <v>348</v>
      </c>
      <c r="AC14" s="151" t="s">
        <v>312</v>
      </c>
      <c r="AD14" s="151" t="s">
        <v>312</v>
      </c>
      <c r="AE14" s="151" t="s">
        <v>553</v>
      </c>
      <c r="AF14" s="151" t="s">
        <v>553</v>
      </c>
      <c r="AG14" s="151" t="s">
        <v>553</v>
      </c>
      <c r="AH14" s="151" t="s">
        <v>323</v>
      </c>
      <c r="AI14" s="151"/>
      <c r="AJ14" s="151" t="s">
        <v>324</v>
      </c>
      <c r="AK14" s="151"/>
      <c r="AL14" s="151" t="s">
        <v>325</v>
      </c>
      <c r="AM14" s="151" t="s">
        <v>326</v>
      </c>
      <c r="AN14" s="151"/>
      <c r="AO14" s="151"/>
      <c r="AP14" s="151" t="s">
        <v>327</v>
      </c>
      <c r="AQ14" s="151" t="s">
        <v>328</v>
      </c>
      <c r="AR14" s="151" t="s">
        <v>159</v>
      </c>
      <c r="AS14" s="151" t="s">
        <v>329</v>
      </c>
      <c r="AT14" s="151" t="s">
        <v>159</v>
      </c>
      <c r="AU14" s="151" t="s">
        <v>314</v>
      </c>
      <c r="AV14" s="151" t="s">
        <v>330</v>
      </c>
      <c r="AW14" s="151"/>
      <c r="AX14" s="151" t="s">
        <v>331</v>
      </c>
      <c r="AY14" s="151"/>
      <c r="AZ14" s="151"/>
      <c r="BA14" s="151" t="s">
        <v>332</v>
      </c>
      <c r="BB14" s="151" t="s">
        <v>333</v>
      </c>
      <c r="BC14" s="151" t="s">
        <v>334</v>
      </c>
      <c r="BD14" s="151" t="s">
        <v>335</v>
      </c>
      <c r="BE14" s="151"/>
      <c r="BF14" s="151"/>
      <c r="BG14" s="151"/>
      <c r="BH14" s="151"/>
      <c r="BI14" s="151"/>
      <c r="BJ14" s="151"/>
      <c r="BK14" s="151"/>
      <c r="BL14" s="151"/>
      <c r="BM14" s="151" t="s">
        <v>312</v>
      </c>
      <c r="BN14" s="151" t="s">
        <v>336</v>
      </c>
    </row>
    <row r="15" spans="1:66" ht="15.6" x14ac:dyDescent="0.3">
      <c r="A15" s="123" t="s">
        <v>368</v>
      </c>
      <c r="B15" s="245" t="s">
        <v>564</v>
      </c>
      <c r="C15" s="151" t="s">
        <v>337</v>
      </c>
      <c r="D15" s="151" t="s">
        <v>565</v>
      </c>
      <c r="E15" s="151" t="s">
        <v>566</v>
      </c>
      <c r="F15" s="151" t="s">
        <v>567</v>
      </c>
      <c r="G15" s="151" t="s">
        <v>308</v>
      </c>
      <c r="H15" s="151" t="s">
        <v>309</v>
      </c>
      <c r="I15" s="151"/>
      <c r="J15" s="151" t="s">
        <v>568</v>
      </c>
      <c r="K15" s="127" t="s">
        <v>1195</v>
      </c>
      <c r="L15" s="151" t="s">
        <v>696</v>
      </c>
      <c r="M15" s="151" t="s">
        <v>568</v>
      </c>
      <c r="N15" s="151" t="s">
        <v>569</v>
      </c>
      <c r="O15" s="151" t="s">
        <v>387</v>
      </c>
      <c r="P15" s="151" t="s">
        <v>570</v>
      </c>
      <c r="Q15" s="151" t="s">
        <v>571</v>
      </c>
      <c r="R15" s="151" t="s">
        <v>572</v>
      </c>
      <c r="S15" s="151" t="s">
        <v>388</v>
      </c>
      <c r="T15" s="151" t="s">
        <v>317</v>
      </c>
      <c r="U15" s="151" t="s">
        <v>318</v>
      </c>
      <c r="V15" s="151" t="s">
        <v>43</v>
      </c>
      <c r="W15" s="151" t="s">
        <v>43</v>
      </c>
      <c r="X15" s="151">
        <v>2025</v>
      </c>
      <c r="Y15" s="151">
        <v>2022</v>
      </c>
      <c r="Z15" s="151" t="s">
        <v>319</v>
      </c>
      <c r="AA15" s="151" t="s">
        <v>389</v>
      </c>
      <c r="AB15" s="151" t="s">
        <v>389</v>
      </c>
      <c r="AC15" s="151" t="s">
        <v>312</v>
      </c>
      <c r="AD15" s="151" t="s">
        <v>312</v>
      </c>
      <c r="AE15" s="151" t="s">
        <v>553</v>
      </c>
      <c r="AF15" s="151" t="s">
        <v>553</v>
      </c>
      <c r="AG15" s="151" t="s">
        <v>553</v>
      </c>
      <c r="AH15" s="151" t="s">
        <v>323</v>
      </c>
      <c r="AI15" s="151"/>
      <c r="AJ15" s="151" t="s">
        <v>390</v>
      </c>
      <c r="AK15" s="151"/>
      <c r="AL15" s="151" t="s">
        <v>325</v>
      </c>
      <c r="AM15" s="151" t="s">
        <v>326</v>
      </c>
      <c r="AN15" s="151"/>
      <c r="AO15" s="151"/>
      <c r="AP15" s="151" t="s">
        <v>327</v>
      </c>
      <c r="AQ15" s="151" t="s">
        <v>328</v>
      </c>
      <c r="AR15" s="151" t="s">
        <v>159</v>
      </c>
      <c r="AS15" s="151" t="s">
        <v>329</v>
      </c>
      <c r="AT15" s="151" t="s">
        <v>159</v>
      </c>
      <c r="AU15" s="151" t="s">
        <v>314</v>
      </c>
      <c r="AV15" s="151" t="s">
        <v>330</v>
      </c>
      <c r="AW15" s="151"/>
      <c r="AX15" s="151" t="s">
        <v>331</v>
      </c>
      <c r="AY15" s="151"/>
      <c r="AZ15" s="151"/>
      <c r="BA15" s="151" t="s">
        <v>332</v>
      </c>
      <c r="BB15" s="151" t="s">
        <v>333</v>
      </c>
      <c r="BC15" s="151" t="s">
        <v>334</v>
      </c>
      <c r="BD15" s="151" t="s">
        <v>335</v>
      </c>
      <c r="BE15" s="151" t="s">
        <v>573</v>
      </c>
      <c r="BF15" s="151" t="s">
        <v>574</v>
      </c>
      <c r="BG15" s="151" t="s">
        <v>575</v>
      </c>
      <c r="BH15" s="151" t="s">
        <v>569</v>
      </c>
      <c r="BI15" s="151"/>
      <c r="BJ15" s="151"/>
      <c r="BK15" s="151"/>
      <c r="BL15" s="151"/>
      <c r="BM15" s="151" t="s">
        <v>312</v>
      </c>
      <c r="BN15" s="151" t="s">
        <v>336</v>
      </c>
    </row>
    <row r="16" spans="1:66" x14ac:dyDescent="0.3">
      <c r="A16" s="136" t="s">
        <v>305</v>
      </c>
      <c r="B16" t="s">
        <v>205</v>
      </c>
      <c r="C16" t="s">
        <v>337</v>
      </c>
      <c r="D16" t="s">
        <v>203</v>
      </c>
      <c r="E16" t="s">
        <v>204</v>
      </c>
      <c r="F16" t="s">
        <v>457</v>
      </c>
      <c r="G16" t="s">
        <v>308</v>
      </c>
      <c r="H16" t="s">
        <v>309</v>
      </c>
      <c r="J16" t="s">
        <v>721</v>
      </c>
      <c r="K16" t="s">
        <v>206</v>
      </c>
      <c r="M16" t="s">
        <v>43</v>
      </c>
      <c r="N16" t="s">
        <v>312</v>
      </c>
      <c r="O16" t="s">
        <v>312</v>
      </c>
      <c r="P16" t="s">
        <v>459</v>
      </c>
      <c r="Q16" t="s">
        <v>364</v>
      </c>
      <c r="R16" t="s">
        <v>460</v>
      </c>
      <c r="S16" t="s">
        <v>388</v>
      </c>
      <c r="X16">
        <v>2025</v>
      </c>
      <c r="Y16">
        <v>2024</v>
      </c>
      <c r="AA16" t="s">
        <v>389</v>
      </c>
      <c r="AB16" t="s">
        <v>389</v>
      </c>
      <c r="AP16" t="s">
        <v>327</v>
      </c>
      <c r="AQ16" t="s">
        <v>159</v>
      </c>
      <c r="AR16" t="s">
        <v>722</v>
      </c>
      <c r="AS16" t="s">
        <v>312</v>
      </c>
      <c r="AT16" t="s">
        <v>43</v>
      </c>
      <c r="AU16" t="s">
        <v>312</v>
      </c>
      <c r="AV16" t="s">
        <v>312</v>
      </c>
      <c r="AW16" t="s">
        <v>312</v>
      </c>
      <c r="AX16" t="s">
        <v>312</v>
      </c>
      <c r="AY16" t="s">
        <v>312</v>
      </c>
      <c r="AZ16" t="s">
        <v>312</v>
      </c>
      <c r="BA16" t="s">
        <v>312</v>
      </c>
      <c r="BB16" t="s">
        <v>312</v>
      </c>
      <c r="BC16" t="s">
        <v>200</v>
      </c>
      <c r="BD16" t="s">
        <v>147</v>
      </c>
      <c r="BE16" t="s">
        <v>458</v>
      </c>
      <c r="BF16" t="s">
        <v>206</v>
      </c>
    </row>
    <row r="17" spans="1:66" ht="15.6" x14ac:dyDescent="0.3">
      <c r="A17" s="123" t="s">
        <v>305</v>
      </c>
      <c r="B17" s="151" t="s">
        <v>136</v>
      </c>
      <c r="C17" s="151" t="s">
        <v>337</v>
      </c>
      <c r="D17" s="151" t="s">
        <v>52</v>
      </c>
      <c r="E17" s="151" t="s">
        <v>48</v>
      </c>
      <c r="F17" s="151" t="s">
        <v>461</v>
      </c>
      <c r="G17" s="151" t="s">
        <v>308</v>
      </c>
      <c r="H17" s="151" t="s">
        <v>309</v>
      </c>
      <c r="I17" s="151"/>
      <c r="J17" s="151" t="s">
        <v>641</v>
      </c>
      <c r="K17" s="160" t="s">
        <v>106</v>
      </c>
      <c r="L17" s="151" t="s">
        <v>645</v>
      </c>
      <c r="M17" s="151" t="s">
        <v>646</v>
      </c>
      <c r="N17" s="127" t="s">
        <v>642</v>
      </c>
      <c r="O17" s="151" t="s">
        <v>647</v>
      </c>
      <c r="P17" s="151" t="s">
        <v>463</v>
      </c>
      <c r="Q17" s="151" t="s">
        <v>314</v>
      </c>
      <c r="R17" s="151" t="s">
        <v>159</v>
      </c>
      <c r="S17" s="151" t="s">
        <v>388</v>
      </c>
      <c r="T17" s="151" t="s">
        <v>317</v>
      </c>
      <c r="U17" s="151" t="s">
        <v>318</v>
      </c>
      <c r="V17" s="151" t="s">
        <v>43</v>
      </c>
      <c r="W17" s="151" t="s">
        <v>43</v>
      </c>
      <c r="X17" s="151">
        <v>2025</v>
      </c>
      <c r="Y17" s="151">
        <v>2022</v>
      </c>
      <c r="Z17" s="151" t="s">
        <v>319</v>
      </c>
      <c r="AA17" s="151" t="s">
        <v>399</v>
      </c>
      <c r="AB17" s="151" t="s">
        <v>399</v>
      </c>
      <c r="AC17" s="151" t="s">
        <v>312</v>
      </c>
      <c r="AD17" s="151" t="s">
        <v>312</v>
      </c>
      <c r="AE17" s="151" t="s">
        <v>604</v>
      </c>
      <c r="AF17" s="151" t="s">
        <v>604</v>
      </c>
      <c r="AG17" s="151" t="s">
        <v>604</v>
      </c>
      <c r="AH17" s="151" t="s">
        <v>323</v>
      </c>
      <c r="AI17" s="151"/>
      <c r="AJ17" s="151" t="s">
        <v>390</v>
      </c>
      <c r="AK17" s="151"/>
      <c r="AL17" s="151" t="s">
        <v>325</v>
      </c>
      <c r="AM17" s="151" t="s">
        <v>326</v>
      </c>
      <c r="AN17" s="151"/>
      <c r="AO17" s="151"/>
      <c r="AP17" s="151" t="s">
        <v>327</v>
      </c>
      <c r="AQ17" s="151" t="s">
        <v>328</v>
      </c>
      <c r="AR17" s="151" t="s">
        <v>159</v>
      </c>
      <c r="AS17" s="151" t="s">
        <v>329</v>
      </c>
      <c r="AT17" s="151" t="s">
        <v>159</v>
      </c>
      <c r="AU17" s="151" t="s">
        <v>314</v>
      </c>
      <c r="AV17" s="151" t="s">
        <v>330</v>
      </c>
      <c r="AW17" s="151"/>
      <c r="AX17" s="151" t="s">
        <v>331</v>
      </c>
      <c r="AY17" s="151"/>
      <c r="AZ17" s="151"/>
      <c r="BA17" s="151" t="s">
        <v>332</v>
      </c>
      <c r="BB17" s="151" t="s">
        <v>333</v>
      </c>
      <c r="BC17" s="151" t="s">
        <v>334</v>
      </c>
      <c r="BD17" s="151" t="s">
        <v>335</v>
      </c>
      <c r="BE17" s="151" t="s">
        <v>643</v>
      </c>
      <c r="BF17" s="151" t="s">
        <v>556</v>
      </c>
      <c r="BG17" s="151" t="s">
        <v>644</v>
      </c>
      <c r="BH17" s="151" t="s">
        <v>106</v>
      </c>
      <c r="BI17" s="151"/>
      <c r="BJ17" s="151"/>
      <c r="BK17" s="151"/>
      <c r="BL17" s="151"/>
      <c r="BM17" s="151" t="s">
        <v>312</v>
      </c>
      <c r="BN17" s="151" t="s">
        <v>336</v>
      </c>
    </row>
    <row r="18" spans="1:66" x14ac:dyDescent="0.3">
      <c r="A18" s="123" t="s">
        <v>305</v>
      </c>
      <c r="B18" s="125" t="s">
        <v>137</v>
      </c>
      <c r="C18" s="125" t="s">
        <v>337</v>
      </c>
      <c r="D18" s="125" t="s">
        <v>35</v>
      </c>
      <c r="E18" s="125" t="s">
        <v>36</v>
      </c>
      <c r="F18" s="125" t="s">
        <v>338</v>
      </c>
      <c r="G18" s="125" t="s">
        <v>308</v>
      </c>
      <c r="H18" s="125" t="s">
        <v>309</v>
      </c>
      <c r="I18" s="125"/>
      <c r="J18" s="125" t="s">
        <v>339</v>
      </c>
      <c r="K18" s="125" t="s">
        <v>37</v>
      </c>
      <c r="L18" s="125"/>
      <c r="M18" s="126" t="s">
        <v>312</v>
      </c>
      <c r="N18" s="125" t="s">
        <v>312</v>
      </c>
      <c r="O18" s="125" t="s">
        <v>312</v>
      </c>
      <c r="P18" s="125" t="s">
        <v>340</v>
      </c>
      <c r="Q18" s="125" t="s">
        <v>341</v>
      </c>
      <c r="R18" s="125" t="s">
        <v>342</v>
      </c>
      <c r="S18" s="125" t="s">
        <v>316</v>
      </c>
      <c r="T18" s="125" t="s">
        <v>317</v>
      </c>
      <c r="U18" s="125" t="s">
        <v>318</v>
      </c>
      <c r="V18" s="125" t="s">
        <v>43</v>
      </c>
      <c r="W18" s="125" t="s">
        <v>43</v>
      </c>
      <c r="X18" s="125">
        <v>2025</v>
      </c>
      <c r="Y18" s="125">
        <v>2020</v>
      </c>
      <c r="Z18" s="125" t="s">
        <v>319</v>
      </c>
      <c r="AA18" s="125" t="s">
        <v>320</v>
      </c>
      <c r="AB18" s="125" t="s">
        <v>321</v>
      </c>
      <c r="AC18" s="125" t="s">
        <v>312</v>
      </c>
      <c r="AD18" s="125" t="s">
        <v>312</v>
      </c>
      <c r="AE18" s="125" t="s">
        <v>343</v>
      </c>
      <c r="AF18" s="125" t="s">
        <v>343</v>
      </c>
      <c r="AG18" s="125" t="s">
        <v>343</v>
      </c>
      <c r="AH18" s="125" t="s">
        <v>323</v>
      </c>
      <c r="AI18" s="125" t="s">
        <v>344</v>
      </c>
      <c r="AJ18" s="125" t="s">
        <v>324</v>
      </c>
      <c r="AK18" s="125"/>
      <c r="AL18" s="125" t="s">
        <v>325</v>
      </c>
      <c r="AM18" s="125" t="s">
        <v>326</v>
      </c>
      <c r="AN18" s="125"/>
      <c r="AO18" s="125"/>
      <c r="AP18" s="125" t="s">
        <v>327</v>
      </c>
      <c r="AQ18" s="125" t="s">
        <v>328</v>
      </c>
      <c r="AR18" s="125" t="s">
        <v>159</v>
      </c>
      <c r="AS18" s="125" t="s">
        <v>329</v>
      </c>
      <c r="AT18" s="125" t="s">
        <v>159</v>
      </c>
      <c r="AU18" s="125" t="s">
        <v>314</v>
      </c>
      <c r="AV18" s="125" t="s">
        <v>330</v>
      </c>
      <c r="AW18" s="125"/>
      <c r="AX18" s="125" t="s">
        <v>331</v>
      </c>
      <c r="AY18" s="125"/>
      <c r="AZ18" s="125"/>
      <c r="BA18" s="125" t="s">
        <v>332</v>
      </c>
      <c r="BB18" s="125" t="s">
        <v>333</v>
      </c>
      <c r="BC18" s="125" t="s">
        <v>334</v>
      </c>
      <c r="BD18" s="125" t="s">
        <v>335</v>
      </c>
      <c r="BE18" s="125"/>
      <c r="BF18" s="125"/>
      <c r="BG18" s="125"/>
      <c r="BH18" s="125"/>
      <c r="BI18" s="125"/>
      <c r="BJ18" s="125"/>
      <c r="BK18" s="125"/>
      <c r="BL18" s="125"/>
      <c r="BM18" s="125" t="s">
        <v>312</v>
      </c>
      <c r="BN18" s="125" t="s">
        <v>336</v>
      </c>
    </row>
    <row r="19" spans="1:66" x14ac:dyDescent="0.3">
      <c r="A19" s="123" t="s">
        <v>305</v>
      </c>
      <c r="B19" s="125" t="s">
        <v>179</v>
      </c>
      <c r="C19" s="125" t="s">
        <v>306</v>
      </c>
      <c r="D19" s="125" t="s">
        <v>175</v>
      </c>
      <c r="E19" s="125" t="s">
        <v>176</v>
      </c>
      <c r="F19" s="125" t="s">
        <v>180</v>
      </c>
      <c r="G19" s="125" t="s">
        <v>308</v>
      </c>
      <c r="H19" s="125" t="s">
        <v>309</v>
      </c>
      <c r="I19" s="125"/>
      <c r="J19" s="125" t="s">
        <v>345</v>
      </c>
      <c r="K19" s="125" t="s">
        <v>181</v>
      </c>
      <c r="L19" s="125"/>
      <c r="M19" s="126" t="s">
        <v>312</v>
      </c>
      <c r="N19" s="125" t="s">
        <v>312</v>
      </c>
      <c r="O19" s="125" t="s">
        <v>312</v>
      </c>
      <c r="P19" s="125" t="s">
        <v>346</v>
      </c>
      <c r="Q19" s="125" t="s">
        <v>314</v>
      </c>
      <c r="R19" s="125" t="s">
        <v>159</v>
      </c>
      <c r="S19" s="125" t="s">
        <v>316</v>
      </c>
      <c r="T19" s="125" t="s">
        <v>317</v>
      </c>
      <c r="U19" s="125" t="s">
        <v>318</v>
      </c>
      <c r="V19" s="125" t="s">
        <v>43</v>
      </c>
      <c r="W19" s="125" t="s">
        <v>312</v>
      </c>
      <c r="X19" s="125">
        <v>2025</v>
      </c>
      <c r="Y19" s="125">
        <v>2024</v>
      </c>
      <c r="Z19" s="125" t="s">
        <v>319</v>
      </c>
      <c r="AA19" s="125" t="s">
        <v>347</v>
      </c>
      <c r="AB19" s="125" t="s">
        <v>348</v>
      </c>
      <c r="AC19" s="125" t="s">
        <v>312</v>
      </c>
      <c r="AD19" s="125" t="s">
        <v>312</v>
      </c>
      <c r="AE19" s="125" t="s">
        <v>349</v>
      </c>
      <c r="AF19" s="125" t="s">
        <v>349</v>
      </c>
      <c r="AG19" s="125" t="s">
        <v>349</v>
      </c>
      <c r="AH19" s="125" t="s">
        <v>323</v>
      </c>
      <c r="AI19" s="125"/>
      <c r="AJ19" s="125" t="s">
        <v>324</v>
      </c>
      <c r="AK19" s="125"/>
      <c r="AL19" s="125" t="s">
        <v>325</v>
      </c>
      <c r="AM19" s="125" t="s">
        <v>326</v>
      </c>
      <c r="AN19" s="125"/>
      <c r="AO19" s="125"/>
      <c r="AP19" s="125" t="s">
        <v>327</v>
      </c>
      <c r="AQ19" s="125" t="s">
        <v>328</v>
      </c>
      <c r="AR19" s="125" t="s">
        <v>159</v>
      </c>
      <c r="AS19" s="125" t="s">
        <v>329</v>
      </c>
      <c r="AT19" s="125" t="s">
        <v>159</v>
      </c>
      <c r="AU19" s="125" t="s">
        <v>314</v>
      </c>
      <c r="AV19" s="125" t="s">
        <v>330</v>
      </c>
      <c r="AW19" s="125"/>
      <c r="AX19" s="125" t="s">
        <v>331</v>
      </c>
      <c r="AY19" s="125"/>
      <c r="AZ19" s="125"/>
      <c r="BA19" s="125" t="s">
        <v>332</v>
      </c>
      <c r="BB19" s="125" t="s">
        <v>333</v>
      </c>
      <c r="BC19" s="125" t="s">
        <v>334</v>
      </c>
      <c r="BD19" s="125" t="s">
        <v>335</v>
      </c>
      <c r="BE19" s="125"/>
      <c r="BF19" s="125"/>
      <c r="BG19" s="125"/>
      <c r="BH19" s="125"/>
      <c r="BI19" s="125"/>
      <c r="BJ19" s="125"/>
      <c r="BK19" s="125"/>
      <c r="BL19" s="125"/>
      <c r="BM19" s="125" t="s">
        <v>312</v>
      </c>
      <c r="BN19" s="125"/>
    </row>
    <row r="20" spans="1:66" ht="15.6" x14ac:dyDescent="0.3">
      <c r="A20" s="123" t="s">
        <v>305</v>
      </c>
      <c r="B20" s="151" t="s">
        <v>182</v>
      </c>
      <c r="C20" s="151" t="s">
        <v>306</v>
      </c>
      <c r="D20" s="151" t="s">
        <v>177</v>
      </c>
      <c r="E20" s="151" t="s">
        <v>178</v>
      </c>
      <c r="F20" s="151" t="s">
        <v>183</v>
      </c>
      <c r="G20" s="151" t="s">
        <v>308</v>
      </c>
      <c r="H20" s="151" t="s">
        <v>309</v>
      </c>
      <c r="I20" s="151"/>
      <c r="J20" s="151" t="s">
        <v>345</v>
      </c>
      <c r="K20" s="151" t="s">
        <v>181</v>
      </c>
      <c r="L20" s="151" t="s">
        <v>693</v>
      </c>
      <c r="M20" s="151" t="s">
        <v>695</v>
      </c>
      <c r="N20" s="151" t="s">
        <v>672</v>
      </c>
      <c r="O20" s="151" t="s">
        <v>694</v>
      </c>
      <c r="P20" s="151" t="s">
        <v>346</v>
      </c>
      <c r="Q20" s="151" t="s">
        <v>314</v>
      </c>
      <c r="R20" s="151" t="s">
        <v>159</v>
      </c>
      <c r="S20" s="151" t="s">
        <v>388</v>
      </c>
      <c r="T20" s="151" t="s">
        <v>317</v>
      </c>
      <c r="U20" s="151" t="s">
        <v>318</v>
      </c>
      <c r="V20" s="151" t="s">
        <v>43</v>
      </c>
      <c r="W20" s="151" t="s">
        <v>43</v>
      </c>
      <c r="X20" s="151">
        <v>2025</v>
      </c>
      <c r="Y20" s="151">
        <v>2024</v>
      </c>
      <c r="Z20" s="151" t="s">
        <v>319</v>
      </c>
      <c r="AA20" s="151" t="s">
        <v>462</v>
      </c>
      <c r="AB20" s="151" t="s">
        <v>462</v>
      </c>
      <c r="AC20" s="151" t="s">
        <v>312</v>
      </c>
      <c r="AD20" s="151" t="s">
        <v>312</v>
      </c>
      <c r="AE20" s="151" t="s">
        <v>673</v>
      </c>
      <c r="AF20" s="151" t="s">
        <v>673</v>
      </c>
      <c r="AG20" s="151" t="s">
        <v>673</v>
      </c>
      <c r="AH20" s="151" t="s">
        <v>323</v>
      </c>
      <c r="AI20" s="151"/>
      <c r="AJ20" s="151" t="s">
        <v>390</v>
      </c>
      <c r="AK20" s="151"/>
      <c r="AL20" s="151" t="s">
        <v>325</v>
      </c>
      <c r="AM20" s="151" t="s">
        <v>326</v>
      </c>
      <c r="AN20" s="151"/>
      <c r="AO20" s="151"/>
      <c r="AP20" s="151" t="s">
        <v>327</v>
      </c>
      <c r="AQ20" s="151" t="s">
        <v>328</v>
      </c>
      <c r="AR20" s="151" t="s">
        <v>159</v>
      </c>
      <c r="AS20" s="151" t="s">
        <v>329</v>
      </c>
      <c r="AT20" s="151" t="s">
        <v>159</v>
      </c>
      <c r="AU20" s="151" t="s">
        <v>314</v>
      </c>
      <c r="AV20" s="151" t="s">
        <v>330</v>
      </c>
      <c r="AW20" s="151"/>
      <c r="AX20" s="151" t="s">
        <v>331</v>
      </c>
      <c r="AY20" s="151"/>
      <c r="AZ20" s="151"/>
      <c r="BA20" s="151" t="s">
        <v>332</v>
      </c>
      <c r="BB20" s="151" t="s">
        <v>333</v>
      </c>
      <c r="BC20" s="151" t="s">
        <v>334</v>
      </c>
      <c r="BD20" s="151" t="s">
        <v>335</v>
      </c>
      <c r="BE20" s="151" t="s">
        <v>674</v>
      </c>
      <c r="BF20" s="151" t="s">
        <v>675</v>
      </c>
      <c r="BG20" s="151" t="s">
        <v>676</v>
      </c>
      <c r="BH20" s="151" t="s">
        <v>181</v>
      </c>
      <c r="BI20" s="151" t="s">
        <v>677</v>
      </c>
      <c r="BJ20" s="151" t="s">
        <v>678</v>
      </c>
      <c r="BK20" s="151" t="s">
        <v>679</v>
      </c>
      <c r="BL20" s="151" t="s">
        <v>672</v>
      </c>
      <c r="BM20" s="151" t="s">
        <v>312</v>
      </c>
      <c r="BN20" s="151"/>
    </row>
    <row r="21" spans="1:66" ht="15.6" x14ac:dyDescent="0.3">
      <c r="A21" s="123" t="s">
        <v>368</v>
      </c>
      <c r="B21" s="151" t="s">
        <v>698</v>
      </c>
      <c r="C21" s="151" t="s">
        <v>306</v>
      </c>
      <c r="D21" s="151" t="s">
        <v>699</v>
      </c>
      <c r="E21" s="151" t="s">
        <v>700</v>
      </c>
      <c r="F21" s="151" t="s">
        <v>701</v>
      </c>
      <c r="G21" s="151" t="s">
        <v>308</v>
      </c>
      <c r="H21" s="151" t="s">
        <v>309</v>
      </c>
      <c r="I21" s="151"/>
      <c r="J21" s="151" t="s">
        <v>702</v>
      </c>
      <c r="K21" s="127" t="s">
        <v>720</v>
      </c>
      <c r="M21" s="151" t="s">
        <v>43</v>
      </c>
      <c r="N21" s="151" t="s">
        <v>704</v>
      </c>
      <c r="O21" s="151"/>
      <c r="P21" s="151" t="s">
        <v>705</v>
      </c>
      <c r="Q21" s="151" t="s">
        <v>354</v>
      </c>
      <c r="R21" s="151" t="s">
        <v>355</v>
      </c>
      <c r="S21" s="151" t="s">
        <v>388</v>
      </c>
      <c r="T21" s="151" t="s">
        <v>317</v>
      </c>
      <c r="U21" s="151" t="s">
        <v>318</v>
      </c>
      <c r="V21" s="151" t="s">
        <v>43</v>
      </c>
      <c r="W21" s="151" t="s">
        <v>312</v>
      </c>
      <c r="X21" s="151">
        <v>2025</v>
      </c>
      <c r="Y21" s="151">
        <v>2025</v>
      </c>
      <c r="Z21" s="151" t="s">
        <v>319</v>
      </c>
      <c r="AA21" s="151" t="s">
        <v>462</v>
      </c>
      <c r="AB21" s="151" t="s">
        <v>462</v>
      </c>
      <c r="AC21" s="151" t="s">
        <v>312</v>
      </c>
      <c r="AD21" s="151" t="s">
        <v>312</v>
      </c>
      <c r="AE21" s="151" t="s">
        <v>706</v>
      </c>
      <c r="AF21" s="151" t="s">
        <v>706</v>
      </c>
      <c r="AG21" s="151" t="s">
        <v>706</v>
      </c>
      <c r="AH21" s="151" t="s">
        <v>323</v>
      </c>
      <c r="AI21" s="151"/>
      <c r="AJ21" s="151" t="s">
        <v>390</v>
      </c>
      <c r="AK21" s="151"/>
      <c r="AL21" s="151" t="s">
        <v>325</v>
      </c>
      <c r="AM21" s="151" t="s">
        <v>326</v>
      </c>
      <c r="AN21" s="151"/>
      <c r="AO21" s="151"/>
      <c r="AP21" s="151" t="s">
        <v>327</v>
      </c>
      <c r="AQ21" s="151" t="s">
        <v>328</v>
      </c>
      <c r="AR21" s="151" t="s">
        <v>159</v>
      </c>
      <c r="AS21" s="151" t="s">
        <v>329</v>
      </c>
      <c r="AT21" s="151" t="s">
        <v>159</v>
      </c>
      <c r="AU21" s="151" t="s">
        <v>314</v>
      </c>
      <c r="AV21" s="151" t="s">
        <v>330</v>
      </c>
      <c r="AW21" s="151"/>
      <c r="AX21" s="151" t="s">
        <v>331</v>
      </c>
      <c r="AY21" s="151"/>
      <c r="AZ21" s="151"/>
      <c r="BA21" s="151" t="s">
        <v>332</v>
      </c>
      <c r="BB21" s="151" t="s">
        <v>333</v>
      </c>
      <c r="BC21" s="151" t="s">
        <v>334</v>
      </c>
      <c r="BD21" s="151" t="s">
        <v>335</v>
      </c>
      <c r="BE21" s="151" t="s">
        <v>707</v>
      </c>
      <c r="BF21" s="151" t="s">
        <v>708</v>
      </c>
      <c r="BG21" s="151" t="s">
        <v>709</v>
      </c>
      <c r="BH21" s="151" t="s">
        <v>703</v>
      </c>
      <c r="BI21" s="151" t="s">
        <v>707</v>
      </c>
      <c r="BJ21" s="151"/>
      <c r="BK21" s="151" t="s">
        <v>710</v>
      </c>
      <c r="BL21" s="151" t="s">
        <v>704</v>
      </c>
      <c r="BM21" s="151" t="s">
        <v>312</v>
      </c>
      <c r="BN21" s="151"/>
    </row>
    <row r="22" spans="1:66" x14ac:dyDescent="0.3">
      <c r="A22" s="129" t="s">
        <v>368</v>
      </c>
      <c r="B22" s="125" t="s">
        <v>406</v>
      </c>
      <c r="C22" s="125" t="s">
        <v>306</v>
      </c>
      <c r="D22" s="125" t="s">
        <v>407</v>
      </c>
      <c r="E22" s="125" t="s">
        <v>408</v>
      </c>
      <c r="F22" s="125" t="s">
        <v>409</v>
      </c>
      <c r="G22" s="125" t="s">
        <v>308</v>
      </c>
      <c r="H22" s="125" t="s">
        <v>309</v>
      </c>
      <c r="I22" s="125"/>
      <c r="J22" s="125" t="s">
        <v>410</v>
      </c>
      <c r="K22" s="127" t="s">
        <v>411</v>
      </c>
      <c r="L22" s="125"/>
      <c r="M22" s="125" t="s">
        <v>312</v>
      </c>
      <c r="N22" s="125" t="s">
        <v>312</v>
      </c>
      <c r="O22" s="125" t="s">
        <v>312</v>
      </c>
      <c r="P22" s="125" t="s">
        <v>412</v>
      </c>
      <c r="Q22" s="125" t="s">
        <v>314</v>
      </c>
      <c r="R22" s="125" t="s">
        <v>159</v>
      </c>
      <c r="S22" s="125" t="s">
        <v>316</v>
      </c>
      <c r="T22" s="125" t="s">
        <v>317</v>
      </c>
      <c r="U22" s="125" t="s">
        <v>318</v>
      </c>
      <c r="V22" s="125" t="s">
        <v>43</v>
      </c>
      <c r="W22" s="125" t="s">
        <v>312</v>
      </c>
      <c r="X22" s="125">
        <v>2025</v>
      </c>
      <c r="Y22" s="125">
        <v>2025</v>
      </c>
      <c r="Z22" s="125" t="s">
        <v>319</v>
      </c>
      <c r="AA22" s="125" t="s">
        <v>347</v>
      </c>
      <c r="AB22" s="125" t="s">
        <v>348</v>
      </c>
      <c r="AC22" s="125" t="s">
        <v>312</v>
      </c>
      <c r="AD22" s="125" t="s">
        <v>312</v>
      </c>
      <c r="AE22" s="125" t="s">
        <v>405</v>
      </c>
      <c r="AF22" s="125" t="s">
        <v>405</v>
      </c>
      <c r="AG22" s="125" t="s">
        <v>405</v>
      </c>
      <c r="AH22" s="125" t="s">
        <v>323</v>
      </c>
      <c r="AI22" s="125"/>
      <c r="AJ22" s="125" t="s">
        <v>324</v>
      </c>
      <c r="AK22" s="125"/>
      <c r="AL22" s="125" t="s">
        <v>325</v>
      </c>
      <c r="AM22" s="125" t="s">
        <v>326</v>
      </c>
      <c r="AN22" s="125"/>
      <c r="AO22" s="125"/>
      <c r="AP22" s="125" t="s">
        <v>327</v>
      </c>
      <c r="AQ22" s="125" t="s">
        <v>328</v>
      </c>
      <c r="AR22" s="125" t="s">
        <v>159</v>
      </c>
      <c r="AS22" s="125" t="s">
        <v>329</v>
      </c>
      <c r="AT22" s="125" t="s">
        <v>159</v>
      </c>
      <c r="AU22" s="125" t="s">
        <v>314</v>
      </c>
      <c r="AV22" s="125" t="s">
        <v>330</v>
      </c>
      <c r="AW22" s="125"/>
      <c r="AX22" s="125" t="s">
        <v>331</v>
      </c>
      <c r="AY22" s="125"/>
      <c r="AZ22" s="125"/>
      <c r="BA22" s="125" t="s">
        <v>332</v>
      </c>
      <c r="BB22" s="125" t="s">
        <v>333</v>
      </c>
      <c r="BC22" s="125" t="s">
        <v>334</v>
      </c>
      <c r="BD22" s="125" t="s">
        <v>335</v>
      </c>
      <c r="BE22" s="125"/>
      <c r="BF22" s="125"/>
      <c r="BG22" s="125"/>
      <c r="BH22" s="125"/>
      <c r="BI22" s="125"/>
      <c r="BJ22" s="125"/>
      <c r="BK22" s="125"/>
      <c r="BL22" s="125"/>
      <c r="BM22" s="125" t="s">
        <v>312</v>
      </c>
      <c r="BN22" s="125"/>
    </row>
    <row r="23" spans="1:66" ht="15.6" x14ac:dyDescent="0.3">
      <c r="A23" s="123" t="s">
        <v>368</v>
      </c>
      <c r="B23" s="151" t="s">
        <v>665</v>
      </c>
      <c r="C23" s="151" t="s">
        <v>337</v>
      </c>
      <c r="D23" s="151" t="s">
        <v>407</v>
      </c>
      <c r="E23" s="151" t="s">
        <v>666</v>
      </c>
      <c r="F23" s="151" t="s">
        <v>667</v>
      </c>
      <c r="G23" s="151" t="s">
        <v>308</v>
      </c>
      <c r="H23" s="151" t="s">
        <v>309</v>
      </c>
      <c r="I23" s="151"/>
      <c r="J23" s="151" t="s">
        <v>410</v>
      </c>
      <c r="K23" s="151" t="s">
        <v>411</v>
      </c>
      <c r="L23" s="151" t="s">
        <v>385</v>
      </c>
      <c r="M23" s="151" t="s">
        <v>697</v>
      </c>
      <c r="N23" s="151" t="s">
        <v>312</v>
      </c>
      <c r="O23" s="151" t="s">
        <v>312</v>
      </c>
      <c r="P23" s="151" t="s">
        <v>412</v>
      </c>
      <c r="Q23" s="151" t="s">
        <v>314</v>
      </c>
      <c r="R23" s="151" t="s">
        <v>159</v>
      </c>
      <c r="S23" s="151" t="s">
        <v>388</v>
      </c>
      <c r="T23" s="151" t="s">
        <v>317</v>
      </c>
      <c r="U23" s="151" t="s">
        <v>318</v>
      </c>
      <c r="V23" s="151" t="s">
        <v>43</v>
      </c>
      <c r="W23" s="151" t="s">
        <v>312</v>
      </c>
      <c r="X23" s="151">
        <v>2025</v>
      </c>
      <c r="Y23" s="151">
        <v>2025</v>
      </c>
      <c r="Z23" s="151" t="s">
        <v>319</v>
      </c>
      <c r="AA23" s="151" t="s">
        <v>462</v>
      </c>
      <c r="AB23" s="151" t="s">
        <v>462</v>
      </c>
      <c r="AC23" s="151" t="s">
        <v>312</v>
      </c>
      <c r="AD23" s="151" t="s">
        <v>312</v>
      </c>
      <c r="AE23" s="151" t="s">
        <v>668</v>
      </c>
      <c r="AF23" s="151" t="s">
        <v>668</v>
      </c>
      <c r="AG23" s="151" t="s">
        <v>668</v>
      </c>
      <c r="AH23" s="151" t="s">
        <v>323</v>
      </c>
      <c r="AI23" s="151"/>
      <c r="AJ23" s="151" t="s">
        <v>390</v>
      </c>
      <c r="AK23" s="151"/>
      <c r="AL23" s="151" t="s">
        <v>325</v>
      </c>
      <c r="AM23" s="151" t="s">
        <v>326</v>
      </c>
      <c r="AN23" s="151"/>
      <c r="AO23" s="151"/>
      <c r="AP23" s="151" t="s">
        <v>327</v>
      </c>
      <c r="AQ23" s="151" t="s">
        <v>328</v>
      </c>
      <c r="AR23" s="151" t="s">
        <v>159</v>
      </c>
      <c r="AS23" s="151" t="s">
        <v>329</v>
      </c>
      <c r="AT23" s="151" t="s">
        <v>159</v>
      </c>
      <c r="AU23" s="151" t="s">
        <v>314</v>
      </c>
      <c r="AV23" s="151" t="s">
        <v>330</v>
      </c>
      <c r="AW23" s="151"/>
      <c r="AX23" s="151" t="s">
        <v>331</v>
      </c>
      <c r="AY23" s="151"/>
      <c r="AZ23" s="151"/>
      <c r="BA23" s="151" t="s">
        <v>332</v>
      </c>
      <c r="BB23" s="151" t="s">
        <v>333</v>
      </c>
      <c r="BC23" s="151" t="s">
        <v>334</v>
      </c>
      <c r="BD23" s="151" t="s">
        <v>335</v>
      </c>
      <c r="BE23" s="151" t="s">
        <v>669</v>
      </c>
      <c r="BF23" s="151" t="s">
        <v>670</v>
      </c>
      <c r="BG23" s="151" t="s">
        <v>671</v>
      </c>
      <c r="BH23" s="151" t="s">
        <v>411</v>
      </c>
      <c r="BI23" s="151"/>
      <c r="BJ23" s="151"/>
      <c r="BK23" s="151"/>
      <c r="BL23" s="151"/>
      <c r="BM23" s="151" t="s">
        <v>312</v>
      </c>
      <c r="BN23" s="151"/>
    </row>
    <row r="24" spans="1:66" x14ac:dyDescent="0.3">
      <c r="A24" s="123" t="s">
        <v>305</v>
      </c>
      <c r="B24" s="125" t="s">
        <v>140</v>
      </c>
      <c r="C24" s="125" t="s">
        <v>306</v>
      </c>
      <c r="D24" s="125" t="s">
        <v>91</v>
      </c>
      <c r="E24" s="125" t="s">
        <v>350</v>
      </c>
      <c r="F24" s="125" t="s">
        <v>351</v>
      </c>
      <c r="G24" s="125" t="s">
        <v>308</v>
      </c>
      <c r="H24" s="125" t="s">
        <v>309</v>
      </c>
      <c r="I24" s="125" t="s">
        <v>352</v>
      </c>
      <c r="J24" s="125" t="s">
        <v>331</v>
      </c>
      <c r="K24" s="127" t="s">
        <v>32</v>
      </c>
      <c r="L24" s="125"/>
      <c r="M24" s="126" t="s">
        <v>312</v>
      </c>
      <c r="N24" s="125" t="s">
        <v>312</v>
      </c>
      <c r="O24" s="125" t="s">
        <v>312</v>
      </c>
      <c r="P24" s="125" t="s">
        <v>353</v>
      </c>
      <c r="Q24" s="125" t="s">
        <v>354</v>
      </c>
      <c r="R24" s="125" t="s">
        <v>355</v>
      </c>
      <c r="S24" s="125" t="s">
        <v>316</v>
      </c>
      <c r="T24" s="125" t="s">
        <v>317</v>
      </c>
      <c r="U24" s="125" t="s">
        <v>318</v>
      </c>
      <c r="V24" s="125" t="s">
        <v>43</v>
      </c>
      <c r="W24" s="125" t="s">
        <v>43</v>
      </c>
      <c r="X24" s="125">
        <v>2025</v>
      </c>
      <c r="Y24" s="125">
        <v>2008</v>
      </c>
      <c r="Z24" s="125" t="s">
        <v>319</v>
      </c>
      <c r="AA24" s="125" t="s">
        <v>356</v>
      </c>
      <c r="AB24" s="125" t="s">
        <v>357</v>
      </c>
      <c r="AC24" s="125" t="s">
        <v>312</v>
      </c>
      <c r="AD24" s="125" t="s">
        <v>312</v>
      </c>
      <c r="AE24" s="125" t="s">
        <v>358</v>
      </c>
      <c r="AF24" s="125" t="s">
        <v>358</v>
      </c>
      <c r="AG24" s="125" t="s">
        <v>359</v>
      </c>
      <c r="AH24" s="125" t="s">
        <v>323</v>
      </c>
      <c r="AI24" s="125" t="s">
        <v>360</v>
      </c>
      <c r="AJ24" s="125" t="s">
        <v>324</v>
      </c>
      <c r="AK24" s="125"/>
      <c r="AL24" s="125" t="s">
        <v>325</v>
      </c>
      <c r="AM24" s="125" t="s">
        <v>326</v>
      </c>
      <c r="AN24" s="125"/>
      <c r="AO24" s="125"/>
      <c r="AP24" s="125" t="s">
        <v>327</v>
      </c>
      <c r="AQ24" s="125" t="s">
        <v>328</v>
      </c>
      <c r="AR24" s="125" t="s">
        <v>159</v>
      </c>
      <c r="AS24" s="125" t="s">
        <v>329</v>
      </c>
      <c r="AT24" s="125" t="s">
        <v>159</v>
      </c>
      <c r="AU24" s="125" t="s">
        <v>314</v>
      </c>
      <c r="AV24" s="125" t="s">
        <v>330</v>
      </c>
      <c r="AW24" s="125"/>
      <c r="AX24" s="125" t="s">
        <v>331</v>
      </c>
      <c r="AY24" s="125"/>
      <c r="AZ24" s="125"/>
      <c r="BA24" s="125" t="s">
        <v>332</v>
      </c>
      <c r="BB24" s="125" t="s">
        <v>333</v>
      </c>
      <c r="BC24" s="125" t="s">
        <v>334</v>
      </c>
      <c r="BD24" s="125" t="s">
        <v>335</v>
      </c>
      <c r="BE24" s="125"/>
      <c r="BF24" s="125"/>
      <c r="BG24" s="125"/>
      <c r="BH24" s="125"/>
      <c r="BI24" s="125"/>
      <c r="BJ24" s="125"/>
      <c r="BK24" s="125"/>
      <c r="BL24" s="125"/>
      <c r="BM24" s="125" t="s">
        <v>312</v>
      </c>
      <c r="BN24" s="125" t="s">
        <v>336</v>
      </c>
    </row>
    <row r="25" spans="1:66" x14ac:dyDescent="0.3">
      <c r="A25" s="136" t="s">
        <v>305</v>
      </c>
      <c r="B25" t="s">
        <v>139</v>
      </c>
      <c r="C25" t="s">
        <v>337</v>
      </c>
      <c r="D25" t="s">
        <v>91</v>
      </c>
      <c r="E25" t="s">
        <v>31</v>
      </c>
      <c r="F25" t="s">
        <v>464</v>
      </c>
      <c r="G25" t="s">
        <v>308</v>
      </c>
      <c r="H25" t="s">
        <v>309</v>
      </c>
      <c r="I25" t="s">
        <v>352</v>
      </c>
      <c r="K25" t="s">
        <v>32</v>
      </c>
      <c r="M25" t="s">
        <v>43</v>
      </c>
      <c r="N25" t="s">
        <v>312</v>
      </c>
      <c r="O25" t="s">
        <v>312</v>
      </c>
      <c r="P25" t="s">
        <v>353</v>
      </c>
      <c r="Q25" t="s">
        <v>354</v>
      </c>
      <c r="R25" t="s">
        <v>355</v>
      </c>
      <c r="S25" t="s">
        <v>316</v>
      </c>
      <c r="X25">
        <v>2025</v>
      </c>
      <c r="Y25">
        <v>2009</v>
      </c>
      <c r="AA25" t="s">
        <v>356</v>
      </c>
      <c r="AB25" t="s">
        <v>357</v>
      </c>
      <c r="AP25" t="s">
        <v>327</v>
      </c>
      <c r="AQ25" t="s">
        <v>159</v>
      </c>
      <c r="AR25" t="s">
        <v>722</v>
      </c>
      <c r="AS25" t="s">
        <v>312</v>
      </c>
      <c r="AT25" t="s">
        <v>43</v>
      </c>
      <c r="AU25" t="s">
        <v>312</v>
      </c>
      <c r="AV25" t="s">
        <v>312</v>
      </c>
      <c r="AW25" t="s">
        <v>312</v>
      </c>
      <c r="AX25" t="s">
        <v>312</v>
      </c>
      <c r="AY25" t="s">
        <v>312</v>
      </c>
      <c r="AZ25" t="s">
        <v>312</v>
      </c>
      <c r="BA25" t="s">
        <v>312</v>
      </c>
      <c r="BB25" t="s">
        <v>312</v>
      </c>
    </row>
    <row r="26" spans="1:66" x14ac:dyDescent="0.3">
      <c r="A26" s="136" t="s">
        <v>368</v>
      </c>
      <c r="B26" t="s">
        <v>723</v>
      </c>
      <c r="C26" t="s">
        <v>306</v>
      </c>
      <c r="D26" t="s">
        <v>724</v>
      </c>
      <c r="E26" t="s">
        <v>725</v>
      </c>
      <c r="F26" t="s">
        <v>726</v>
      </c>
      <c r="G26" t="s">
        <v>308</v>
      </c>
      <c r="H26" t="s">
        <v>309</v>
      </c>
      <c r="J26" t="s">
        <v>727</v>
      </c>
      <c r="K26" s="127" t="s">
        <v>728</v>
      </c>
      <c r="M26" t="s">
        <v>43</v>
      </c>
      <c r="N26" t="s">
        <v>312</v>
      </c>
      <c r="O26" t="s">
        <v>312</v>
      </c>
      <c r="P26" t="s">
        <v>729</v>
      </c>
      <c r="Q26" t="s">
        <v>314</v>
      </c>
      <c r="R26" t="s">
        <v>159</v>
      </c>
      <c r="S26" t="s">
        <v>316</v>
      </c>
      <c r="X26">
        <v>2025</v>
      </c>
      <c r="Y26">
        <v>2025</v>
      </c>
      <c r="AA26" t="s">
        <v>347</v>
      </c>
      <c r="AB26" t="s">
        <v>348</v>
      </c>
      <c r="AP26" t="s">
        <v>327</v>
      </c>
      <c r="AQ26" t="s">
        <v>159</v>
      </c>
      <c r="AR26" t="s">
        <v>722</v>
      </c>
      <c r="AS26" t="s">
        <v>312</v>
      </c>
      <c r="AT26" t="s">
        <v>43</v>
      </c>
      <c r="AU26" t="s">
        <v>312</v>
      </c>
      <c r="AV26" t="s">
        <v>312</v>
      </c>
      <c r="AW26" t="s">
        <v>312</v>
      </c>
      <c r="AX26" t="s">
        <v>312</v>
      </c>
      <c r="AY26" t="s">
        <v>312</v>
      </c>
      <c r="AZ26" t="s">
        <v>312</v>
      </c>
      <c r="BA26" t="s">
        <v>312</v>
      </c>
      <c r="BB26" t="s">
        <v>312</v>
      </c>
    </row>
    <row r="27" spans="1:66" x14ac:dyDescent="0.3">
      <c r="A27" s="123" t="s">
        <v>305</v>
      </c>
      <c r="B27" s="125" t="s">
        <v>141</v>
      </c>
      <c r="C27" s="125" t="s">
        <v>306</v>
      </c>
      <c r="D27" s="125" t="s">
        <v>39</v>
      </c>
      <c r="E27" s="125" t="s">
        <v>33</v>
      </c>
      <c r="F27" s="125" t="s">
        <v>361</v>
      </c>
      <c r="G27" s="125" t="s">
        <v>308</v>
      </c>
      <c r="H27" s="125" t="s">
        <v>309</v>
      </c>
      <c r="I27" s="125"/>
      <c r="J27" s="125" t="s">
        <v>362</v>
      </c>
      <c r="K27" s="125" t="s">
        <v>34</v>
      </c>
      <c r="L27" s="125"/>
      <c r="M27" s="126" t="s">
        <v>312</v>
      </c>
      <c r="N27" s="125" t="s">
        <v>312</v>
      </c>
      <c r="O27" s="125" t="s">
        <v>312</v>
      </c>
      <c r="P27" s="125" t="s">
        <v>363</v>
      </c>
      <c r="Q27" s="125" t="s">
        <v>364</v>
      </c>
      <c r="R27" s="125" t="s">
        <v>365</v>
      </c>
      <c r="S27" s="125" t="s">
        <v>316</v>
      </c>
      <c r="T27" s="125" t="s">
        <v>317</v>
      </c>
      <c r="U27" s="125" t="s">
        <v>318</v>
      </c>
      <c r="V27" s="125" t="s">
        <v>43</v>
      </c>
      <c r="W27" s="125" t="s">
        <v>43</v>
      </c>
      <c r="X27" s="125">
        <v>2025</v>
      </c>
      <c r="Y27" s="125">
        <v>2012</v>
      </c>
      <c r="Z27" s="125" t="s">
        <v>319</v>
      </c>
      <c r="AA27" s="125" t="s">
        <v>356</v>
      </c>
      <c r="AB27" s="125" t="s">
        <v>357</v>
      </c>
      <c r="AC27" s="125" t="s">
        <v>312</v>
      </c>
      <c r="AD27" s="125" t="s">
        <v>312</v>
      </c>
      <c r="AE27" s="125" t="s">
        <v>343</v>
      </c>
      <c r="AF27" s="125" t="s">
        <v>343</v>
      </c>
      <c r="AG27" s="125" t="s">
        <v>343</v>
      </c>
      <c r="AH27" s="125" t="s">
        <v>323</v>
      </c>
      <c r="AI27" s="125" t="s">
        <v>366</v>
      </c>
      <c r="AJ27" s="125" t="s">
        <v>324</v>
      </c>
      <c r="AK27" s="125"/>
      <c r="AL27" s="125" t="s">
        <v>325</v>
      </c>
      <c r="AM27" s="125" t="s">
        <v>326</v>
      </c>
      <c r="AN27" s="125"/>
      <c r="AO27" s="125"/>
      <c r="AP27" s="125" t="s">
        <v>327</v>
      </c>
      <c r="AQ27" s="125" t="s">
        <v>328</v>
      </c>
      <c r="AR27" s="125" t="s">
        <v>159</v>
      </c>
      <c r="AS27" s="125" t="s">
        <v>329</v>
      </c>
      <c r="AT27" s="125" t="s">
        <v>159</v>
      </c>
      <c r="AU27" s="125" t="s">
        <v>314</v>
      </c>
      <c r="AV27" s="125" t="s">
        <v>330</v>
      </c>
      <c r="AW27" s="125"/>
      <c r="AX27" s="125" t="s">
        <v>331</v>
      </c>
      <c r="AY27" s="125"/>
      <c r="AZ27" s="125"/>
      <c r="BA27" s="125" t="s">
        <v>332</v>
      </c>
      <c r="BB27" s="125" t="s">
        <v>333</v>
      </c>
      <c r="BC27" s="125" t="s">
        <v>334</v>
      </c>
      <c r="BD27" s="125" t="s">
        <v>335</v>
      </c>
      <c r="BE27" s="125"/>
      <c r="BF27" s="125"/>
      <c r="BG27" s="125"/>
      <c r="BH27" s="125"/>
      <c r="BI27" s="125"/>
      <c r="BJ27" s="125"/>
      <c r="BK27" s="125"/>
      <c r="BL27" s="125"/>
      <c r="BM27" s="125" t="s">
        <v>312</v>
      </c>
      <c r="BN27" s="125" t="s">
        <v>367</v>
      </c>
    </row>
    <row r="28" spans="1:66" ht="15.6" x14ac:dyDescent="0.3">
      <c r="A28" s="123" t="s">
        <v>305</v>
      </c>
      <c r="B28" s="151" t="s">
        <v>546</v>
      </c>
      <c r="C28" s="151" t="s">
        <v>306</v>
      </c>
      <c r="D28" s="151" t="s">
        <v>547</v>
      </c>
      <c r="E28" s="151" t="s">
        <v>548</v>
      </c>
      <c r="F28" s="151" t="s">
        <v>549</v>
      </c>
      <c r="G28" s="151" t="s">
        <v>308</v>
      </c>
      <c r="H28" s="151"/>
      <c r="I28" s="151"/>
      <c r="J28" s="151" t="s">
        <v>550</v>
      </c>
      <c r="K28" s="151" t="s">
        <v>551</v>
      </c>
      <c r="L28" s="151"/>
      <c r="M28" s="151" t="s">
        <v>312</v>
      </c>
      <c r="N28" s="151" t="s">
        <v>312</v>
      </c>
      <c r="O28" s="151" t="s">
        <v>312</v>
      </c>
      <c r="P28" s="151" t="s">
        <v>552</v>
      </c>
      <c r="Q28" s="151" t="s">
        <v>314</v>
      </c>
      <c r="R28" s="151" t="s">
        <v>159</v>
      </c>
      <c r="S28" s="151" t="s">
        <v>316</v>
      </c>
      <c r="T28" s="151" t="s">
        <v>317</v>
      </c>
      <c r="U28" s="151" t="s">
        <v>318</v>
      </c>
      <c r="V28" s="151" t="s">
        <v>43</v>
      </c>
      <c r="W28" s="151" t="s">
        <v>43</v>
      </c>
      <c r="X28" s="151">
        <v>2025</v>
      </c>
      <c r="Y28" s="151">
        <v>2017</v>
      </c>
      <c r="Z28" s="151" t="s">
        <v>319</v>
      </c>
      <c r="AA28" s="151" t="s">
        <v>347</v>
      </c>
      <c r="AB28" s="151" t="s">
        <v>348</v>
      </c>
      <c r="AC28" s="151" t="s">
        <v>312</v>
      </c>
      <c r="AD28" s="151" t="s">
        <v>312</v>
      </c>
      <c r="AE28" s="151" t="s">
        <v>553</v>
      </c>
      <c r="AF28" s="151" t="s">
        <v>553</v>
      </c>
      <c r="AG28" s="151" t="s">
        <v>553</v>
      </c>
      <c r="AH28" s="151" t="s">
        <v>323</v>
      </c>
      <c r="AI28" s="151"/>
      <c r="AJ28" s="151" t="s">
        <v>324</v>
      </c>
      <c r="AK28" s="151"/>
      <c r="AL28" s="151" t="s">
        <v>325</v>
      </c>
      <c r="AM28" s="151" t="s">
        <v>326</v>
      </c>
      <c r="AN28" s="151"/>
      <c r="AO28" s="151"/>
      <c r="AP28" s="151" t="s">
        <v>327</v>
      </c>
      <c r="AQ28" s="151" t="s">
        <v>328</v>
      </c>
      <c r="AR28" s="151" t="s">
        <v>159</v>
      </c>
      <c r="AS28" s="151" t="s">
        <v>329</v>
      </c>
      <c r="AT28" s="151" t="s">
        <v>159</v>
      </c>
      <c r="AU28" s="151" t="s">
        <v>314</v>
      </c>
      <c r="AV28" s="151" t="s">
        <v>330</v>
      </c>
      <c r="AW28" s="151"/>
      <c r="AX28" s="151" t="s">
        <v>331</v>
      </c>
      <c r="AY28" s="151"/>
      <c r="AZ28" s="151"/>
      <c r="BA28" s="151" t="s">
        <v>332</v>
      </c>
      <c r="BB28" s="151" t="s">
        <v>333</v>
      </c>
      <c r="BC28" s="151" t="s">
        <v>334</v>
      </c>
      <c r="BD28" s="151" t="s">
        <v>335</v>
      </c>
      <c r="BE28" s="151"/>
      <c r="BF28" s="151"/>
      <c r="BG28" s="151"/>
      <c r="BH28" s="151"/>
      <c r="BI28" s="151"/>
      <c r="BJ28" s="151"/>
      <c r="BK28" s="151"/>
      <c r="BL28" s="151"/>
      <c r="BM28" s="151" t="s">
        <v>312</v>
      </c>
      <c r="BN28" s="151" t="s">
        <v>336</v>
      </c>
    </row>
    <row r="29" spans="1:66" ht="15.6" x14ac:dyDescent="0.3">
      <c r="A29" s="123" t="s">
        <v>368</v>
      </c>
      <c r="B29" s="151" t="s">
        <v>597</v>
      </c>
      <c r="C29" s="151" t="s">
        <v>306</v>
      </c>
      <c r="D29" s="151" t="s">
        <v>598</v>
      </c>
      <c r="E29" s="151" t="s">
        <v>599</v>
      </c>
      <c r="F29" s="151" t="s">
        <v>600</v>
      </c>
      <c r="G29" s="151" t="s">
        <v>308</v>
      </c>
      <c r="H29" s="151" t="s">
        <v>309</v>
      </c>
      <c r="I29" s="151"/>
      <c r="J29" s="151" t="s">
        <v>601</v>
      </c>
      <c r="K29" s="151" t="s">
        <v>602</v>
      </c>
      <c r="L29" s="151"/>
      <c r="M29" s="151" t="s">
        <v>312</v>
      </c>
      <c r="N29" s="151" t="s">
        <v>312</v>
      </c>
      <c r="O29" s="151" t="s">
        <v>312</v>
      </c>
      <c r="P29" s="151" t="s">
        <v>603</v>
      </c>
      <c r="Q29" s="151" t="s">
        <v>121</v>
      </c>
      <c r="R29" s="151" t="s">
        <v>488</v>
      </c>
      <c r="S29" s="151" t="s">
        <v>316</v>
      </c>
      <c r="T29" s="151" t="s">
        <v>317</v>
      </c>
      <c r="U29" s="151" t="s">
        <v>318</v>
      </c>
      <c r="V29" s="151" t="s">
        <v>43</v>
      </c>
      <c r="W29" s="151" t="s">
        <v>43</v>
      </c>
      <c r="X29" s="151">
        <v>2025</v>
      </c>
      <c r="Y29" s="151">
        <v>2024</v>
      </c>
      <c r="Z29" s="151" t="s">
        <v>319</v>
      </c>
      <c r="AA29" s="151" t="s">
        <v>356</v>
      </c>
      <c r="AB29" s="151" t="s">
        <v>357</v>
      </c>
      <c r="AC29" s="151" t="s">
        <v>312</v>
      </c>
      <c r="AD29" s="151" t="s">
        <v>312</v>
      </c>
      <c r="AE29" s="151" t="s">
        <v>604</v>
      </c>
      <c r="AF29" s="151" t="s">
        <v>604</v>
      </c>
      <c r="AG29" s="151" t="s">
        <v>604</v>
      </c>
      <c r="AH29" s="151" t="s">
        <v>323</v>
      </c>
      <c r="AI29" s="151"/>
      <c r="AJ29" s="151" t="s">
        <v>324</v>
      </c>
      <c r="AK29" s="151"/>
      <c r="AL29" s="151" t="s">
        <v>325</v>
      </c>
      <c r="AM29" s="151" t="s">
        <v>326</v>
      </c>
      <c r="AN29" s="151"/>
      <c r="AO29" s="151"/>
      <c r="AP29" s="151" t="s">
        <v>327</v>
      </c>
      <c r="AQ29" s="151" t="s">
        <v>328</v>
      </c>
      <c r="AR29" s="151" t="s">
        <v>159</v>
      </c>
      <c r="AS29" s="151" t="s">
        <v>329</v>
      </c>
      <c r="AT29" s="151" t="s">
        <v>159</v>
      </c>
      <c r="AU29" s="151" t="s">
        <v>314</v>
      </c>
      <c r="AV29" s="151" t="s">
        <v>330</v>
      </c>
      <c r="AW29" s="151"/>
      <c r="AX29" s="151" t="s">
        <v>331</v>
      </c>
      <c r="AY29" s="151"/>
      <c r="AZ29" s="151"/>
      <c r="BA29" s="151" t="s">
        <v>332</v>
      </c>
      <c r="BB29" s="151" t="s">
        <v>333</v>
      </c>
      <c r="BC29" s="151" t="s">
        <v>334</v>
      </c>
      <c r="BD29" s="151" t="s">
        <v>335</v>
      </c>
      <c r="BE29" s="151"/>
      <c r="BF29" s="151"/>
      <c r="BG29" s="151"/>
      <c r="BH29" s="151"/>
      <c r="BI29" s="151"/>
      <c r="BJ29" s="151"/>
      <c r="BK29" s="151"/>
      <c r="BL29" s="151"/>
      <c r="BM29" s="151" t="s">
        <v>312</v>
      </c>
      <c r="BN29" s="151"/>
    </row>
    <row r="30" spans="1:66" x14ac:dyDescent="0.3">
      <c r="A30" s="123" t="s">
        <v>368</v>
      </c>
      <c r="B30" s="125" t="s">
        <v>369</v>
      </c>
      <c r="C30" s="125" t="s">
        <v>306</v>
      </c>
      <c r="D30" s="125" t="s">
        <v>370</v>
      </c>
      <c r="E30" s="125" t="s">
        <v>371</v>
      </c>
      <c r="F30" s="125" t="s">
        <v>372</v>
      </c>
      <c r="G30" s="125" t="s">
        <v>308</v>
      </c>
      <c r="H30" s="125" t="s">
        <v>309</v>
      </c>
      <c r="I30" s="125"/>
      <c r="J30" s="125" t="s">
        <v>373</v>
      </c>
      <c r="K30" s="127" t="s">
        <v>374</v>
      </c>
      <c r="L30" s="125"/>
      <c r="M30" s="126" t="s">
        <v>312</v>
      </c>
      <c r="N30" s="125" t="s">
        <v>312</v>
      </c>
      <c r="O30" s="125" t="s">
        <v>312</v>
      </c>
      <c r="P30" s="125" t="s">
        <v>375</v>
      </c>
      <c r="Q30" s="125" t="s">
        <v>376</v>
      </c>
      <c r="R30" s="125" t="s">
        <v>377</v>
      </c>
      <c r="S30" s="125" t="s">
        <v>378</v>
      </c>
      <c r="T30" s="125" t="s">
        <v>317</v>
      </c>
      <c r="U30" s="125" t="s">
        <v>318</v>
      </c>
      <c r="V30" s="125" t="s">
        <v>43</v>
      </c>
      <c r="W30" s="125" t="s">
        <v>312</v>
      </c>
      <c r="X30" s="125">
        <v>2025</v>
      </c>
      <c r="Y30" s="125">
        <v>2004</v>
      </c>
      <c r="Z30" s="125" t="s">
        <v>319</v>
      </c>
      <c r="AA30" s="125" t="s">
        <v>347</v>
      </c>
      <c r="AB30" s="125" t="s">
        <v>348</v>
      </c>
      <c r="AC30" s="125" t="s">
        <v>312</v>
      </c>
      <c r="AD30" s="125" t="s">
        <v>312</v>
      </c>
      <c r="AE30" s="125" t="s">
        <v>343</v>
      </c>
      <c r="AF30" s="125" t="s">
        <v>343</v>
      </c>
      <c r="AG30" s="125" t="s">
        <v>343</v>
      </c>
      <c r="AH30" s="125" t="s">
        <v>323</v>
      </c>
      <c r="AI30" s="125"/>
      <c r="AJ30" s="125" t="s">
        <v>379</v>
      </c>
      <c r="AK30" s="125"/>
      <c r="AL30" s="125" t="s">
        <v>325</v>
      </c>
      <c r="AM30" s="125" t="s">
        <v>326</v>
      </c>
      <c r="AN30" s="125"/>
      <c r="AO30" s="125"/>
      <c r="AP30" s="125" t="s">
        <v>327</v>
      </c>
      <c r="AQ30" s="125" t="s">
        <v>328</v>
      </c>
      <c r="AR30" s="125" t="s">
        <v>159</v>
      </c>
      <c r="AS30" s="125" t="s">
        <v>329</v>
      </c>
      <c r="AT30" s="125" t="s">
        <v>159</v>
      </c>
      <c r="AU30" s="125" t="s">
        <v>314</v>
      </c>
      <c r="AV30" s="125" t="s">
        <v>330</v>
      </c>
      <c r="AW30" s="125"/>
      <c r="AX30" s="125" t="s">
        <v>331</v>
      </c>
      <c r="AY30" s="125"/>
      <c r="AZ30" s="125"/>
      <c r="BA30" s="125" t="s">
        <v>332</v>
      </c>
      <c r="BB30" s="125" t="s">
        <v>333</v>
      </c>
      <c r="BC30" s="125" t="s">
        <v>334</v>
      </c>
      <c r="BD30" s="125" t="s">
        <v>335</v>
      </c>
      <c r="BE30" s="125"/>
      <c r="BF30" s="125"/>
      <c r="BG30" s="125"/>
      <c r="BH30" s="125"/>
      <c r="BI30" s="125"/>
      <c r="BJ30" s="125"/>
      <c r="BK30" s="125"/>
      <c r="BL30" s="125"/>
      <c r="BM30" s="125" t="s">
        <v>312</v>
      </c>
      <c r="BN30" s="125" t="s">
        <v>336</v>
      </c>
    </row>
    <row r="31" spans="1:66" x14ac:dyDescent="0.3">
      <c r="A31" s="123" t="s">
        <v>305</v>
      </c>
      <c r="B31" s="125" t="s">
        <v>192</v>
      </c>
      <c r="C31" s="125" t="s">
        <v>306</v>
      </c>
      <c r="D31" s="125" t="s">
        <v>154</v>
      </c>
      <c r="E31" s="125" t="s">
        <v>193</v>
      </c>
      <c r="F31" s="125" t="s">
        <v>194</v>
      </c>
      <c r="G31" s="125" t="s">
        <v>308</v>
      </c>
      <c r="H31" s="125" t="s">
        <v>309</v>
      </c>
      <c r="I31" s="125"/>
      <c r="J31" s="125" t="s">
        <v>380</v>
      </c>
      <c r="K31" s="125" t="s">
        <v>195</v>
      </c>
      <c r="L31" s="125"/>
      <c r="M31" s="126" t="s">
        <v>312</v>
      </c>
      <c r="N31" s="125" t="s">
        <v>312</v>
      </c>
      <c r="O31" s="125" t="s">
        <v>312</v>
      </c>
      <c r="P31" s="125" t="s">
        <v>381</v>
      </c>
      <c r="Q31" s="125" t="s">
        <v>382</v>
      </c>
      <c r="R31" s="125" t="s">
        <v>196</v>
      </c>
      <c r="S31" s="125" t="s">
        <v>316</v>
      </c>
      <c r="T31" s="125" t="s">
        <v>317</v>
      </c>
      <c r="U31" s="125" t="s">
        <v>318</v>
      </c>
      <c r="V31" s="125" t="s">
        <v>43</v>
      </c>
      <c r="W31" s="125" t="s">
        <v>312</v>
      </c>
      <c r="X31" s="125">
        <v>2025</v>
      </c>
      <c r="Y31" s="125">
        <v>2024</v>
      </c>
      <c r="Z31" s="125" t="s">
        <v>319</v>
      </c>
      <c r="AA31" s="125" t="s">
        <v>347</v>
      </c>
      <c r="AB31" s="125" t="s">
        <v>348</v>
      </c>
      <c r="AC31" s="125" t="s">
        <v>312</v>
      </c>
      <c r="AD31" s="125" t="s">
        <v>312</v>
      </c>
      <c r="AE31" s="125" t="s">
        <v>349</v>
      </c>
      <c r="AF31" s="125" t="s">
        <v>349</v>
      </c>
      <c r="AG31" s="125" t="s">
        <v>349</v>
      </c>
      <c r="AH31" s="125" t="s">
        <v>323</v>
      </c>
      <c r="AI31" s="125"/>
      <c r="AJ31" s="125" t="s">
        <v>324</v>
      </c>
      <c r="AK31" s="125"/>
      <c r="AL31" s="125" t="s">
        <v>325</v>
      </c>
      <c r="AM31" s="125" t="s">
        <v>326</v>
      </c>
      <c r="AN31" s="125"/>
      <c r="AO31" s="125"/>
      <c r="AP31" s="125" t="s">
        <v>327</v>
      </c>
      <c r="AQ31" s="125" t="s">
        <v>328</v>
      </c>
      <c r="AR31" s="125" t="s">
        <v>159</v>
      </c>
      <c r="AS31" s="125" t="s">
        <v>329</v>
      </c>
      <c r="AT31" s="125" t="s">
        <v>159</v>
      </c>
      <c r="AU31" s="125" t="s">
        <v>314</v>
      </c>
      <c r="AV31" s="125" t="s">
        <v>330</v>
      </c>
      <c r="AW31" s="125"/>
      <c r="AX31" s="125" t="s">
        <v>331</v>
      </c>
      <c r="AY31" s="125"/>
      <c r="AZ31" s="125"/>
      <c r="BA31" s="125" t="s">
        <v>332</v>
      </c>
      <c r="BB31" s="125" t="s">
        <v>333</v>
      </c>
      <c r="BC31" s="125" t="s">
        <v>334</v>
      </c>
      <c r="BD31" s="125" t="s">
        <v>335</v>
      </c>
      <c r="BE31" s="125"/>
      <c r="BF31" s="125"/>
      <c r="BG31" s="125"/>
      <c r="BH31" s="125"/>
      <c r="BI31" s="125"/>
      <c r="BJ31" s="125"/>
      <c r="BK31" s="125"/>
      <c r="BL31" s="125"/>
      <c r="BM31" s="125" t="s">
        <v>312</v>
      </c>
      <c r="BN31" s="125"/>
    </row>
    <row r="32" spans="1:66" ht="15.6" x14ac:dyDescent="0.3">
      <c r="A32" s="123" t="s">
        <v>368</v>
      </c>
      <c r="B32" s="125" t="s">
        <v>383</v>
      </c>
      <c r="C32" s="125" t="s">
        <v>337</v>
      </c>
      <c r="D32" s="125" t="s">
        <v>154</v>
      </c>
      <c r="E32" s="125" t="s">
        <v>83</v>
      </c>
      <c r="F32" s="125" t="s">
        <v>384</v>
      </c>
      <c r="G32" s="125" t="s">
        <v>308</v>
      </c>
      <c r="H32" s="125" t="s">
        <v>309</v>
      </c>
      <c r="I32" s="125"/>
      <c r="J32" s="125" t="s">
        <v>380</v>
      </c>
      <c r="K32" s="125" t="s">
        <v>195</v>
      </c>
      <c r="L32" s="125" t="s">
        <v>385</v>
      </c>
      <c r="M32" s="128" t="s">
        <v>386</v>
      </c>
      <c r="N32" s="125" t="s">
        <v>312</v>
      </c>
      <c r="O32" s="125" t="s">
        <v>387</v>
      </c>
      <c r="P32" s="125" t="s">
        <v>381</v>
      </c>
      <c r="Q32" s="125" t="s">
        <v>382</v>
      </c>
      <c r="R32" s="125" t="s">
        <v>196</v>
      </c>
      <c r="S32" s="125" t="s">
        <v>388</v>
      </c>
      <c r="T32" s="125" t="s">
        <v>317</v>
      </c>
      <c r="U32" s="125" t="s">
        <v>318</v>
      </c>
      <c r="V32" s="125" t="s">
        <v>43</v>
      </c>
      <c r="W32" s="125" t="s">
        <v>312</v>
      </c>
      <c r="X32" s="125">
        <v>2025</v>
      </c>
      <c r="Y32" s="125">
        <v>2025</v>
      </c>
      <c r="Z32" s="125" t="s">
        <v>319</v>
      </c>
      <c r="AA32" s="125" t="s">
        <v>389</v>
      </c>
      <c r="AB32" s="125" t="s">
        <v>389</v>
      </c>
      <c r="AC32" s="125" t="s">
        <v>312</v>
      </c>
      <c r="AD32" s="125" t="s">
        <v>312</v>
      </c>
      <c r="AE32" s="125" t="s">
        <v>349</v>
      </c>
      <c r="AF32" s="125" t="s">
        <v>349</v>
      </c>
      <c r="AG32" s="125" t="s">
        <v>349</v>
      </c>
      <c r="AH32" s="125" t="s">
        <v>323</v>
      </c>
      <c r="AI32" s="125"/>
      <c r="AJ32" s="125" t="s">
        <v>390</v>
      </c>
      <c r="AK32" s="125"/>
      <c r="AL32" s="125" t="s">
        <v>325</v>
      </c>
      <c r="AM32" s="125" t="s">
        <v>326</v>
      </c>
      <c r="AN32" s="125"/>
      <c r="AO32" s="125"/>
      <c r="AP32" s="125" t="s">
        <v>327</v>
      </c>
      <c r="AQ32" s="125" t="s">
        <v>328</v>
      </c>
      <c r="AR32" s="125" t="s">
        <v>159</v>
      </c>
      <c r="AS32" s="125" t="s">
        <v>329</v>
      </c>
      <c r="AT32" s="125" t="s">
        <v>159</v>
      </c>
      <c r="AU32" s="125" t="s">
        <v>314</v>
      </c>
      <c r="AV32" s="125" t="s">
        <v>330</v>
      </c>
      <c r="AW32" s="125"/>
      <c r="AX32" s="125" t="s">
        <v>331</v>
      </c>
      <c r="AY32" s="125"/>
      <c r="AZ32" s="125"/>
      <c r="BA32" s="125" t="s">
        <v>332</v>
      </c>
      <c r="BB32" s="125" t="s">
        <v>333</v>
      </c>
      <c r="BC32" s="125" t="s">
        <v>334</v>
      </c>
      <c r="BD32" s="125" t="s">
        <v>335</v>
      </c>
      <c r="BE32" s="125" t="s">
        <v>154</v>
      </c>
      <c r="BF32" s="125" t="s">
        <v>391</v>
      </c>
      <c r="BG32" s="125" t="s">
        <v>392</v>
      </c>
      <c r="BH32" s="125" t="s">
        <v>195</v>
      </c>
      <c r="BI32" s="125"/>
      <c r="BJ32" s="125"/>
      <c r="BK32" s="125"/>
      <c r="BL32" s="125"/>
      <c r="BM32" s="125" t="s">
        <v>312</v>
      </c>
      <c r="BN32" s="125"/>
    </row>
    <row r="33" spans="1:66" ht="15.6" x14ac:dyDescent="0.3">
      <c r="A33" s="123" t="s">
        <v>368</v>
      </c>
      <c r="B33" s="151" t="s">
        <v>612</v>
      </c>
      <c r="C33" s="151" t="s">
        <v>306</v>
      </c>
      <c r="D33" s="151" t="s">
        <v>613</v>
      </c>
      <c r="E33" s="151" t="s">
        <v>614</v>
      </c>
      <c r="F33" s="151" t="s">
        <v>615</v>
      </c>
      <c r="G33" s="151" t="s">
        <v>308</v>
      </c>
      <c r="H33" s="151" t="s">
        <v>309</v>
      </c>
      <c r="I33" s="151"/>
      <c r="J33" s="151" t="s">
        <v>616</v>
      </c>
      <c r="K33" s="127" t="s">
        <v>617</v>
      </c>
      <c r="L33" s="151"/>
      <c r="M33" s="151" t="s">
        <v>312</v>
      </c>
      <c r="N33" s="151" t="s">
        <v>312</v>
      </c>
      <c r="O33" s="151" t="s">
        <v>312</v>
      </c>
      <c r="P33" s="151" t="s">
        <v>618</v>
      </c>
      <c r="Q33" s="151" t="s">
        <v>619</v>
      </c>
      <c r="R33" s="151" t="s">
        <v>620</v>
      </c>
      <c r="S33" s="151" t="s">
        <v>378</v>
      </c>
      <c r="T33" s="151" t="s">
        <v>317</v>
      </c>
      <c r="U33" s="151" t="s">
        <v>318</v>
      </c>
      <c r="V33" s="151" t="s">
        <v>43</v>
      </c>
      <c r="W33" s="151" t="s">
        <v>43</v>
      </c>
      <c r="X33" s="151">
        <v>2025</v>
      </c>
      <c r="Y33" s="151">
        <v>2025</v>
      </c>
      <c r="Z33" s="151" t="s">
        <v>319</v>
      </c>
      <c r="AA33" s="151" t="s">
        <v>320</v>
      </c>
      <c r="AB33" s="151" t="s">
        <v>321</v>
      </c>
      <c r="AC33" s="151" t="s">
        <v>312</v>
      </c>
      <c r="AD33" s="151" t="s">
        <v>312</v>
      </c>
      <c r="AE33" s="151" t="s">
        <v>604</v>
      </c>
      <c r="AF33" s="151" t="s">
        <v>604</v>
      </c>
      <c r="AG33" s="151" t="s">
        <v>604</v>
      </c>
      <c r="AH33" s="151" t="s">
        <v>323</v>
      </c>
      <c r="AI33" s="151"/>
      <c r="AJ33" s="151" t="s">
        <v>379</v>
      </c>
      <c r="AK33" s="151"/>
      <c r="AL33" s="151" t="s">
        <v>325</v>
      </c>
      <c r="AM33" s="151" t="s">
        <v>326</v>
      </c>
      <c r="AN33" s="151"/>
      <c r="AO33" s="151"/>
      <c r="AP33" s="151" t="s">
        <v>327</v>
      </c>
      <c r="AQ33" s="151" t="s">
        <v>328</v>
      </c>
      <c r="AR33" s="151" t="s">
        <v>159</v>
      </c>
      <c r="AS33" s="151" t="s">
        <v>329</v>
      </c>
      <c r="AT33" s="151" t="s">
        <v>159</v>
      </c>
      <c r="AU33" s="151" t="s">
        <v>314</v>
      </c>
      <c r="AV33" s="151" t="s">
        <v>330</v>
      </c>
      <c r="AW33" s="151"/>
      <c r="AX33" s="151" t="s">
        <v>331</v>
      </c>
      <c r="AY33" s="151"/>
      <c r="AZ33" s="151"/>
      <c r="BA33" s="151" t="s">
        <v>332</v>
      </c>
      <c r="BB33" s="151" t="s">
        <v>333</v>
      </c>
      <c r="BC33" s="151" t="s">
        <v>334</v>
      </c>
      <c r="BD33" s="151" t="s">
        <v>335</v>
      </c>
      <c r="BE33" s="151"/>
      <c r="BF33" s="151"/>
      <c r="BG33" s="151"/>
      <c r="BH33" s="151"/>
      <c r="BI33" s="151"/>
      <c r="BJ33" s="151"/>
      <c r="BK33" s="151"/>
      <c r="BL33" s="151"/>
      <c r="BM33" s="151" t="s">
        <v>312</v>
      </c>
      <c r="BN33" s="151"/>
    </row>
    <row r="34" spans="1:66" ht="15.6" x14ac:dyDescent="0.3">
      <c r="A34" s="123" t="s">
        <v>368</v>
      </c>
      <c r="B34" s="151" t="s">
        <v>711</v>
      </c>
      <c r="C34" s="151" t="s">
        <v>306</v>
      </c>
      <c r="D34" s="151" t="s">
        <v>712</v>
      </c>
      <c r="E34" s="151" t="s">
        <v>713</v>
      </c>
      <c r="F34" s="151" t="s">
        <v>714</v>
      </c>
      <c r="G34" s="151" t="s">
        <v>308</v>
      </c>
      <c r="H34" s="151" t="s">
        <v>309</v>
      </c>
      <c r="I34" s="151"/>
      <c r="J34" s="151" t="s">
        <v>715</v>
      </c>
      <c r="K34" s="127" t="s">
        <v>719</v>
      </c>
      <c r="L34" s="151"/>
      <c r="M34" s="151" t="s">
        <v>43</v>
      </c>
      <c r="N34" s="151" t="s">
        <v>312</v>
      </c>
      <c r="O34" s="151" t="s">
        <v>312</v>
      </c>
      <c r="P34" s="151" t="s">
        <v>716</v>
      </c>
      <c r="Q34" s="151" t="s">
        <v>314</v>
      </c>
      <c r="R34" s="151" t="s">
        <v>315</v>
      </c>
      <c r="S34" s="151" t="s">
        <v>316</v>
      </c>
      <c r="T34" s="151" t="s">
        <v>317</v>
      </c>
      <c r="U34" s="151" t="s">
        <v>318</v>
      </c>
      <c r="V34" s="151" t="s">
        <v>43</v>
      </c>
      <c r="W34" s="151" t="s">
        <v>43</v>
      </c>
      <c r="X34" s="151">
        <v>2025</v>
      </c>
      <c r="Y34" s="151">
        <v>2025</v>
      </c>
      <c r="Z34" s="151" t="s">
        <v>319</v>
      </c>
      <c r="AA34" s="151" t="s">
        <v>347</v>
      </c>
      <c r="AB34" s="151" t="s">
        <v>348</v>
      </c>
      <c r="AC34" s="151" t="s">
        <v>312</v>
      </c>
      <c r="AD34" s="151" t="s">
        <v>312</v>
      </c>
      <c r="AE34" s="151" t="s">
        <v>706</v>
      </c>
      <c r="AF34" s="151" t="s">
        <v>706</v>
      </c>
      <c r="AG34" s="151" t="s">
        <v>706</v>
      </c>
      <c r="AH34" s="151" t="s">
        <v>323</v>
      </c>
      <c r="AI34" s="151"/>
      <c r="AJ34" s="151" t="s">
        <v>324</v>
      </c>
      <c r="AK34" s="151"/>
      <c r="AL34" s="151" t="s">
        <v>325</v>
      </c>
      <c r="AM34" s="151" t="s">
        <v>326</v>
      </c>
      <c r="AN34" s="151"/>
      <c r="AO34" s="151"/>
      <c r="AP34" s="151" t="s">
        <v>327</v>
      </c>
      <c r="AQ34" s="151" t="s">
        <v>328</v>
      </c>
      <c r="AR34" s="151" t="s">
        <v>159</v>
      </c>
      <c r="AS34" s="151" t="s">
        <v>329</v>
      </c>
      <c r="AT34" s="151" t="s">
        <v>159</v>
      </c>
      <c r="AU34" s="151" t="s">
        <v>314</v>
      </c>
      <c r="AV34" s="151" t="s">
        <v>330</v>
      </c>
      <c r="AW34" s="151"/>
      <c r="AX34" s="151" t="s">
        <v>331</v>
      </c>
      <c r="AY34" s="151"/>
      <c r="AZ34" s="151"/>
      <c r="BA34" s="151" t="s">
        <v>332</v>
      </c>
      <c r="BB34" s="151" t="s">
        <v>333</v>
      </c>
      <c r="BC34" s="151" t="s">
        <v>334</v>
      </c>
      <c r="BD34" s="151" t="s">
        <v>335</v>
      </c>
      <c r="BE34" s="151"/>
      <c r="BF34" s="151"/>
      <c r="BG34" s="151"/>
      <c r="BH34" s="151"/>
      <c r="BI34" s="151"/>
      <c r="BJ34" s="151"/>
      <c r="BK34" s="151"/>
      <c r="BL34" s="151"/>
      <c r="BM34" s="151" t="s">
        <v>312</v>
      </c>
      <c r="BN34" s="151"/>
    </row>
    <row r="35" spans="1:66" ht="15.6" x14ac:dyDescent="0.3">
      <c r="A35" s="136" t="s">
        <v>368</v>
      </c>
      <c r="B35" s="151" t="s">
        <v>798</v>
      </c>
      <c r="C35" s="151" t="s">
        <v>337</v>
      </c>
      <c r="D35" s="151" t="s">
        <v>712</v>
      </c>
      <c r="E35" s="151" t="s">
        <v>799</v>
      </c>
      <c r="F35" s="151" t="s">
        <v>800</v>
      </c>
      <c r="G35" s="151" t="s">
        <v>308</v>
      </c>
      <c r="H35" s="151" t="s">
        <v>309</v>
      </c>
      <c r="I35" s="151" t="s">
        <v>715</v>
      </c>
      <c r="J35" s="151" t="s">
        <v>801</v>
      </c>
      <c r="K35" s="127" t="s">
        <v>802</v>
      </c>
      <c r="L35" s="151" t="s">
        <v>385</v>
      </c>
      <c r="M35" s="151" t="s">
        <v>715</v>
      </c>
      <c r="N35" s="127" t="s">
        <v>719</v>
      </c>
      <c r="O35" s="151" t="s">
        <v>43</v>
      </c>
      <c r="P35" s="151" t="s">
        <v>716</v>
      </c>
      <c r="Q35" s="151" t="s">
        <v>314</v>
      </c>
      <c r="R35" s="151" t="s">
        <v>315</v>
      </c>
      <c r="S35" s="151" t="s">
        <v>388</v>
      </c>
      <c r="T35" s="151" t="s">
        <v>317</v>
      </c>
      <c r="U35" s="151" t="s">
        <v>318</v>
      </c>
      <c r="V35" s="151" t="s">
        <v>43</v>
      </c>
      <c r="W35" s="151" t="s">
        <v>43</v>
      </c>
      <c r="X35" s="151">
        <v>2025</v>
      </c>
      <c r="Y35" s="151">
        <v>2025</v>
      </c>
      <c r="Z35" s="151" t="s">
        <v>319</v>
      </c>
      <c r="AA35" s="151" t="s">
        <v>803</v>
      </c>
      <c r="AB35" s="151" t="s">
        <v>803</v>
      </c>
      <c r="AC35" s="151" t="s">
        <v>312</v>
      </c>
      <c r="AD35" s="151" t="s">
        <v>312</v>
      </c>
      <c r="AE35" s="151" t="s">
        <v>804</v>
      </c>
      <c r="AF35" s="151" t="s">
        <v>804</v>
      </c>
      <c r="AG35" s="151" t="s">
        <v>804</v>
      </c>
      <c r="AH35" s="151" t="s">
        <v>323</v>
      </c>
      <c r="AI35" s="151"/>
      <c r="AJ35" s="151" t="s">
        <v>390</v>
      </c>
      <c r="AK35" s="151"/>
      <c r="AL35" s="151" t="s">
        <v>325</v>
      </c>
      <c r="AM35" s="151" t="s">
        <v>326</v>
      </c>
      <c r="AN35" s="151"/>
      <c r="AO35" s="151"/>
      <c r="AP35" s="151" t="s">
        <v>327</v>
      </c>
      <c r="AQ35" s="151" t="s">
        <v>328</v>
      </c>
      <c r="AR35" s="151" t="s">
        <v>159</v>
      </c>
      <c r="AS35" s="151" t="s">
        <v>329</v>
      </c>
      <c r="AT35" s="151" t="s">
        <v>159</v>
      </c>
      <c r="AU35" s="151" t="s">
        <v>314</v>
      </c>
      <c r="AV35" s="151" t="s">
        <v>330</v>
      </c>
      <c r="AW35" s="151"/>
      <c r="AX35" s="151" t="s">
        <v>331</v>
      </c>
      <c r="AY35" s="151"/>
      <c r="AZ35" s="151"/>
      <c r="BA35" s="151" t="s">
        <v>332</v>
      </c>
      <c r="BB35" s="151" t="s">
        <v>333</v>
      </c>
      <c r="BC35" s="151" t="s">
        <v>334</v>
      </c>
      <c r="BD35" s="151" t="s">
        <v>335</v>
      </c>
      <c r="BE35" s="151" t="s">
        <v>805</v>
      </c>
      <c r="BF35" s="151" t="s">
        <v>806</v>
      </c>
      <c r="BG35" s="151" t="s">
        <v>807</v>
      </c>
      <c r="BH35" s="151" t="s">
        <v>719</v>
      </c>
      <c r="BI35" s="151"/>
      <c r="BJ35" s="151"/>
      <c r="BK35" s="151"/>
      <c r="BL35" s="151"/>
      <c r="BM35" s="151" t="s">
        <v>312</v>
      </c>
      <c r="BN35" s="151"/>
    </row>
    <row r="36" spans="1:66" ht="15.6" x14ac:dyDescent="0.3">
      <c r="A36" s="123" t="s">
        <v>368</v>
      </c>
      <c r="B36" s="151" t="s">
        <v>626</v>
      </c>
      <c r="C36" s="151" t="s">
        <v>306</v>
      </c>
      <c r="D36" s="151" t="s">
        <v>627</v>
      </c>
      <c r="E36" s="151" t="s">
        <v>628</v>
      </c>
      <c r="F36" s="151" t="s">
        <v>629</v>
      </c>
      <c r="G36" s="151" t="s">
        <v>308</v>
      </c>
      <c r="H36" s="151" t="s">
        <v>309</v>
      </c>
      <c r="I36" s="151"/>
      <c r="J36" s="151" t="s">
        <v>630</v>
      </c>
      <c r="K36" s="151" t="s">
        <v>631</v>
      </c>
      <c r="L36" s="151"/>
      <c r="M36" s="151" t="s">
        <v>312</v>
      </c>
      <c r="N36" s="151" t="s">
        <v>312</v>
      </c>
      <c r="O36" s="151" t="s">
        <v>312</v>
      </c>
      <c r="P36" s="151" t="s">
        <v>632</v>
      </c>
      <c r="Q36" s="151" t="s">
        <v>633</v>
      </c>
      <c r="R36" s="151" t="s">
        <v>634</v>
      </c>
      <c r="S36" s="151" t="s">
        <v>316</v>
      </c>
      <c r="T36" s="151" t="s">
        <v>317</v>
      </c>
      <c r="U36" s="151" t="s">
        <v>318</v>
      </c>
      <c r="V36" s="151" t="s">
        <v>43</v>
      </c>
      <c r="W36" s="151" t="s">
        <v>43</v>
      </c>
      <c r="X36" s="151">
        <v>2025</v>
      </c>
      <c r="Y36" s="151">
        <v>2003</v>
      </c>
      <c r="Z36" s="151" t="s">
        <v>319</v>
      </c>
      <c r="AA36" s="151" t="s">
        <v>320</v>
      </c>
      <c r="AB36" s="151" t="s">
        <v>321</v>
      </c>
      <c r="AC36" s="151" t="s">
        <v>312</v>
      </c>
      <c r="AD36" s="151" t="s">
        <v>312</v>
      </c>
      <c r="AE36" s="151" t="s">
        <v>604</v>
      </c>
      <c r="AF36" s="151" t="s">
        <v>604</v>
      </c>
      <c r="AG36" s="151" t="s">
        <v>604</v>
      </c>
      <c r="AH36" s="151" t="s">
        <v>323</v>
      </c>
      <c r="AI36" s="151"/>
      <c r="AJ36" s="151" t="s">
        <v>324</v>
      </c>
      <c r="AK36" s="151"/>
      <c r="AL36" s="151" t="s">
        <v>325</v>
      </c>
      <c r="AM36" s="151" t="s">
        <v>326</v>
      </c>
      <c r="AN36" s="151"/>
      <c r="AO36" s="151"/>
      <c r="AP36" s="151" t="s">
        <v>327</v>
      </c>
      <c r="AQ36" s="151" t="s">
        <v>328</v>
      </c>
      <c r="AR36" s="151" t="s">
        <v>159</v>
      </c>
      <c r="AS36" s="151" t="s">
        <v>329</v>
      </c>
      <c r="AT36" s="151" t="s">
        <v>159</v>
      </c>
      <c r="AU36" s="151" t="s">
        <v>314</v>
      </c>
      <c r="AV36" s="151" t="s">
        <v>330</v>
      </c>
      <c r="AW36" s="151"/>
      <c r="AX36" s="151" t="s">
        <v>331</v>
      </c>
      <c r="AY36" s="151"/>
      <c r="AZ36" s="151"/>
      <c r="BA36" s="151" t="s">
        <v>332</v>
      </c>
      <c r="BB36" s="151" t="s">
        <v>333</v>
      </c>
      <c r="BC36" s="151" t="s">
        <v>334</v>
      </c>
      <c r="BD36" s="151" t="s">
        <v>335</v>
      </c>
      <c r="BE36" s="151"/>
      <c r="BF36" s="151"/>
      <c r="BG36" s="151"/>
      <c r="BH36" s="151"/>
      <c r="BI36" s="151"/>
      <c r="BJ36" s="151"/>
      <c r="BK36" s="151"/>
      <c r="BL36" s="151"/>
      <c r="BM36" s="151" t="s">
        <v>312</v>
      </c>
      <c r="BN36" s="151" t="s">
        <v>336</v>
      </c>
    </row>
    <row r="37" spans="1:66" ht="15.6" x14ac:dyDescent="0.3">
      <c r="A37" s="123" t="s">
        <v>368</v>
      </c>
      <c r="B37" s="151" t="s">
        <v>635</v>
      </c>
      <c r="C37" s="151" t="s">
        <v>306</v>
      </c>
      <c r="D37" s="151" t="s">
        <v>627</v>
      </c>
      <c r="E37" s="151" t="s">
        <v>636</v>
      </c>
      <c r="F37" s="151" t="s">
        <v>637</v>
      </c>
      <c r="G37" s="151" t="s">
        <v>308</v>
      </c>
      <c r="H37" s="151" t="s">
        <v>309</v>
      </c>
      <c r="I37" s="151"/>
      <c r="J37" s="151" t="s">
        <v>638</v>
      </c>
      <c r="K37" s="151" t="s">
        <v>639</v>
      </c>
      <c r="L37" s="151"/>
      <c r="M37" s="151" t="s">
        <v>312</v>
      </c>
      <c r="N37" s="151" t="s">
        <v>312</v>
      </c>
      <c r="O37" s="151" t="s">
        <v>312</v>
      </c>
      <c r="P37" s="151" t="s">
        <v>640</v>
      </c>
      <c r="Q37" s="151" t="s">
        <v>314</v>
      </c>
      <c r="R37" s="151" t="s">
        <v>159</v>
      </c>
      <c r="S37" s="151" t="s">
        <v>316</v>
      </c>
      <c r="T37" s="151" t="s">
        <v>317</v>
      </c>
      <c r="U37" s="151" t="s">
        <v>318</v>
      </c>
      <c r="V37" s="151" t="s">
        <v>43</v>
      </c>
      <c r="W37" s="151" t="s">
        <v>43</v>
      </c>
      <c r="X37" s="151">
        <v>2025</v>
      </c>
      <c r="Y37" s="151">
        <v>2025</v>
      </c>
      <c r="Z37" s="151" t="s">
        <v>319</v>
      </c>
      <c r="AA37" s="151" t="s">
        <v>356</v>
      </c>
      <c r="AB37" s="151" t="s">
        <v>357</v>
      </c>
      <c r="AC37" s="151" t="s">
        <v>312</v>
      </c>
      <c r="AD37" s="151" t="s">
        <v>312</v>
      </c>
      <c r="AE37" s="151" t="s">
        <v>604</v>
      </c>
      <c r="AF37" s="151" t="s">
        <v>604</v>
      </c>
      <c r="AG37" s="151" t="s">
        <v>604</v>
      </c>
      <c r="AH37" s="151" t="s">
        <v>323</v>
      </c>
      <c r="AI37" s="151"/>
      <c r="AJ37" s="151" t="s">
        <v>324</v>
      </c>
      <c r="AK37" s="151"/>
      <c r="AL37" s="151" t="s">
        <v>325</v>
      </c>
      <c r="AM37" s="151" t="s">
        <v>326</v>
      </c>
      <c r="AN37" s="151"/>
      <c r="AO37" s="151"/>
      <c r="AP37" s="151" t="s">
        <v>327</v>
      </c>
      <c r="AQ37" s="151" t="s">
        <v>328</v>
      </c>
      <c r="AR37" s="151" t="s">
        <v>159</v>
      </c>
      <c r="AS37" s="151" t="s">
        <v>329</v>
      </c>
      <c r="AT37" s="151" t="s">
        <v>159</v>
      </c>
      <c r="AU37" s="151" t="s">
        <v>314</v>
      </c>
      <c r="AV37" s="151" t="s">
        <v>330</v>
      </c>
      <c r="AW37" s="151"/>
      <c r="AX37" s="151" t="s">
        <v>331</v>
      </c>
      <c r="AY37" s="151"/>
      <c r="AZ37" s="151"/>
      <c r="BA37" s="151" t="s">
        <v>332</v>
      </c>
      <c r="BB37" s="151" t="s">
        <v>333</v>
      </c>
      <c r="BC37" s="151" t="s">
        <v>334</v>
      </c>
      <c r="BD37" s="151" t="s">
        <v>335</v>
      </c>
      <c r="BE37" s="151"/>
      <c r="BF37" s="151"/>
      <c r="BG37" s="151"/>
      <c r="BH37" s="151"/>
      <c r="BI37" s="151"/>
      <c r="BJ37" s="151"/>
      <c r="BK37" s="151"/>
      <c r="BL37" s="151"/>
      <c r="BM37" s="151" t="s">
        <v>312</v>
      </c>
      <c r="BN37" s="151"/>
    </row>
    <row r="38" spans="1:66" ht="15.6" x14ac:dyDescent="0.3">
      <c r="A38" s="123" t="s">
        <v>368</v>
      </c>
      <c r="B38" s="151" t="s">
        <v>680</v>
      </c>
      <c r="C38" s="151" t="s">
        <v>306</v>
      </c>
      <c r="D38" s="151" t="s">
        <v>681</v>
      </c>
      <c r="E38" s="151" t="s">
        <v>682</v>
      </c>
      <c r="F38" s="151" t="s">
        <v>683</v>
      </c>
      <c r="G38" s="151" t="s">
        <v>308</v>
      </c>
      <c r="H38" s="151" t="s">
        <v>309</v>
      </c>
      <c r="I38" s="151"/>
      <c r="J38" s="151" t="s">
        <v>684</v>
      </c>
      <c r="K38" s="151" t="s">
        <v>685</v>
      </c>
      <c r="L38" s="151"/>
      <c r="M38" s="151" t="s">
        <v>43</v>
      </c>
      <c r="N38" s="151" t="s">
        <v>312</v>
      </c>
      <c r="O38" s="151" t="s">
        <v>312</v>
      </c>
      <c r="P38" s="151" t="s">
        <v>686</v>
      </c>
      <c r="Q38" s="151" t="s">
        <v>341</v>
      </c>
      <c r="R38" s="151" t="s">
        <v>342</v>
      </c>
      <c r="S38" s="151" t="s">
        <v>378</v>
      </c>
      <c r="T38" s="151" t="s">
        <v>317</v>
      </c>
      <c r="U38" s="151" t="s">
        <v>318</v>
      </c>
      <c r="V38" s="151" t="s">
        <v>43</v>
      </c>
      <c r="W38" s="151" t="s">
        <v>43</v>
      </c>
      <c r="X38" s="151">
        <v>2025</v>
      </c>
      <c r="Y38" s="151">
        <v>2020</v>
      </c>
      <c r="Z38" s="151" t="s">
        <v>319</v>
      </c>
      <c r="AA38" s="151" t="s">
        <v>347</v>
      </c>
      <c r="AB38" s="151" t="s">
        <v>348</v>
      </c>
      <c r="AC38" s="151" t="s">
        <v>312</v>
      </c>
      <c r="AD38" s="151" t="s">
        <v>312</v>
      </c>
      <c r="AE38" s="151" t="s">
        <v>673</v>
      </c>
      <c r="AF38" s="151" t="s">
        <v>673</v>
      </c>
      <c r="AG38" s="151" t="s">
        <v>673</v>
      </c>
      <c r="AH38" s="151" t="s">
        <v>323</v>
      </c>
      <c r="AI38" s="151"/>
      <c r="AJ38" s="151" t="s">
        <v>379</v>
      </c>
      <c r="AK38" s="151"/>
      <c r="AL38" s="151" t="s">
        <v>325</v>
      </c>
      <c r="AM38" s="151" t="s">
        <v>326</v>
      </c>
      <c r="AN38" s="151"/>
      <c r="AO38" s="151"/>
      <c r="AP38" s="151" t="s">
        <v>327</v>
      </c>
      <c r="AQ38" s="151" t="s">
        <v>328</v>
      </c>
      <c r="AR38" s="151" t="s">
        <v>159</v>
      </c>
      <c r="AS38" s="151" t="s">
        <v>329</v>
      </c>
      <c r="AT38" s="151" t="s">
        <v>159</v>
      </c>
      <c r="AU38" s="151" t="s">
        <v>314</v>
      </c>
      <c r="AV38" s="151" t="s">
        <v>330</v>
      </c>
      <c r="AW38" s="151"/>
      <c r="AX38" s="151" t="s">
        <v>331</v>
      </c>
      <c r="AY38" s="151"/>
      <c r="AZ38" s="151"/>
      <c r="BA38" s="151" t="s">
        <v>332</v>
      </c>
      <c r="BB38" s="151" t="s">
        <v>333</v>
      </c>
      <c r="BC38" s="151" t="s">
        <v>334</v>
      </c>
      <c r="BD38" s="151" t="s">
        <v>335</v>
      </c>
      <c r="BE38" s="151"/>
      <c r="BF38" s="151"/>
      <c r="BG38" s="151"/>
      <c r="BH38" s="151"/>
      <c r="BI38" s="151"/>
      <c r="BJ38" s="151"/>
      <c r="BK38" s="151"/>
      <c r="BL38" s="151"/>
      <c r="BM38" s="151" t="s">
        <v>312</v>
      </c>
      <c r="BN38" s="151" t="s">
        <v>336</v>
      </c>
    </row>
    <row r="39" spans="1:66" x14ac:dyDescent="0.3">
      <c r="A39" s="123" t="s">
        <v>305</v>
      </c>
      <c r="B39" t="s">
        <v>142</v>
      </c>
      <c r="C39" t="s">
        <v>306</v>
      </c>
      <c r="D39" t="s">
        <v>86</v>
      </c>
      <c r="E39" t="s">
        <v>87</v>
      </c>
      <c r="F39" t="s">
        <v>393</v>
      </c>
      <c r="G39" t="s">
        <v>308</v>
      </c>
      <c r="H39" t="s">
        <v>394</v>
      </c>
      <c r="J39" t="s">
        <v>395</v>
      </c>
      <c r="K39" t="s">
        <v>88</v>
      </c>
      <c r="M39" s="124" t="s">
        <v>312</v>
      </c>
      <c r="N39" t="s">
        <v>312</v>
      </c>
      <c r="O39" t="s">
        <v>312</v>
      </c>
      <c r="P39" t="s">
        <v>396</v>
      </c>
      <c r="Q39" t="s">
        <v>314</v>
      </c>
      <c r="R39" t="s">
        <v>191</v>
      </c>
      <c r="S39" t="s">
        <v>316</v>
      </c>
      <c r="T39" t="s">
        <v>317</v>
      </c>
      <c r="U39" t="s">
        <v>318</v>
      </c>
      <c r="V39" t="s">
        <v>43</v>
      </c>
      <c r="W39" t="s">
        <v>43</v>
      </c>
      <c r="X39">
        <v>2025</v>
      </c>
      <c r="Y39">
        <v>2013</v>
      </c>
      <c r="Z39" t="s">
        <v>319</v>
      </c>
      <c r="AA39" t="s">
        <v>356</v>
      </c>
      <c r="AB39" t="s">
        <v>357</v>
      </c>
      <c r="AC39" t="s">
        <v>312</v>
      </c>
      <c r="AD39" t="s">
        <v>312</v>
      </c>
      <c r="AE39" t="s">
        <v>322</v>
      </c>
      <c r="AF39" t="s">
        <v>322</v>
      </c>
      <c r="AG39" t="s">
        <v>322</v>
      </c>
      <c r="AH39" t="s">
        <v>323</v>
      </c>
      <c r="AJ39" t="s">
        <v>324</v>
      </c>
      <c r="AL39" t="s">
        <v>325</v>
      </c>
      <c r="AM39" t="s">
        <v>326</v>
      </c>
      <c r="AP39" t="s">
        <v>327</v>
      </c>
      <c r="AQ39" t="s">
        <v>328</v>
      </c>
      <c r="AR39" t="s">
        <v>159</v>
      </c>
      <c r="AS39" t="s">
        <v>329</v>
      </c>
      <c r="AT39" t="s">
        <v>159</v>
      </c>
      <c r="AU39" t="s">
        <v>314</v>
      </c>
      <c r="AV39" t="s">
        <v>330</v>
      </c>
      <c r="AX39" t="s">
        <v>331</v>
      </c>
      <c r="BA39" t="s">
        <v>332</v>
      </c>
      <c r="BB39" t="s">
        <v>333</v>
      </c>
      <c r="BC39" t="s">
        <v>334</v>
      </c>
      <c r="BD39" t="s">
        <v>335</v>
      </c>
      <c r="BM39" t="s">
        <v>312</v>
      </c>
      <c r="BN39" t="s">
        <v>336</v>
      </c>
    </row>
    <row r="40" spans="1:66" x14ac:dyDescent="0.3">
      <c r="A40" s="136" t="s">
        <v>368</v>
      </c>
      <c r="B40" t="s">
        <v>730</v>
      </c>
      <c r="C40" t="s">
        <v>337</v>
      </c>
      <c r="D40" t="s">
        <v>731</v>
      </c>
      <c r="E40" t="s">
        <v>189</v>
      </c>
      <c r="F40" t="s">
        <v>732</v>
      </c>
      <c r="G40" t="s">
        <v>308</v>
      </c>
      <c r="H40" t="s">
        <v>309</v>
      </c>
      <c r="J40" t="s">
        <v>733</v>
      </c>
      <c r="K40" s="127" t="s">
        <v>734</v>
      </c>
      <c r="M40" t="s">
        <v>43</v>
      </c>
      <c r="N40" t="s">
        <v>312</v>
      </c>
      <c r="O40" t="s">
        <v>312</v>
      </c>
      <c r="P40" t="s">
        <v>729</v>
      </c>
      <c r="Q40" t="s">
        <v>314</v>
      </c>
      <c r="R40" t="s">
        <v>159</v>
      </c>
      <c r="S40" t="s">
        <v>316</v>
      </c>
      <c r="X40">
        <v>2025</v>
      </c>
      <c r="Y40">
        <v>2025</v>
      </c>
      <c r="AA40" t="s">
        <v>347</v>
      </c>
      <c r="AB40" t="s">
        <v>348</v>
      </c>
      <c r="AP40" t="s">
        <v>327</v>
      </c>
      <c r="AQ40" t="s">
        <v>159</v>
      </c>
      <c r="AR40" t="s">
        <v>722</v>
      </c>
      <c r="AS40" t="s">
        <v>312</v>
      </c>
      <c r="AT40" t="s">
        <v>43</v>
      </c>
      <c r="AU40" t="s">
        <v>312</v>
      </c>
      <c r="AV40" t="s">
        <v>312</v>
      </c>
      <c r="AW40" t="s">
        <v>312</v>
      </c>
      <c r="AX40" t="s">
        <v>312</v>
      </c>
      <c r="AY40" t="s">
        <v>312</v>
      </c>
      <c r="AZ40" t="s">
        <v>312</v>
      </c>
      <c r="BA40" t="s">
        <v>312</v>
      </c>
      <c r="BB40" t="s">
        <v>312</v>
      </c>
    </row>
    <row r="41" spans="1:66" ht="15.6" x14ac:dyDescent="0.3">
      <c r="A41" s="123" t="s">
        <v>368</v>
      </c>
      <c r="B41" s="151" t="s">
        <v>586</v>
      </c>
      <c r="C41" s="151" t="s">
        <v>306</v>
      </c>
      <c r="D41" s="151" t="s">
        <v>587</v>
      </c>
      <c r="E41" s="151" t="s">
        <v>588</v>
      </c>
      <c r="F41" s="151" t="s">
        <v>589</v>
      </c>
      <c r="G41" s="151" t="s">
        <v>308</v>
      </c>
      <c r="H41" s="151" t="s">
        <v>309</v>
      </c>
      <c r="I41" s="151"/>
      <c r="J41" s="151" t="s">
        <v>590</v>
      </c>
      <c r="K41" s="127" t="s">
        <v>591</v>
      </c>
      <c r="L41" s="151"/>
      <c r="M41" s="151" t="s">
        <v>312</v>
      </c>
      <c r="N41" s="151" t="s">
        <v>312</v>
      </c>
      <c r="O41" s="151" t="s">
        <v>312</v>
      </c>
      <c r="P41" s="151" t="s">
        <v>592</v>
      </c>
      <c r="Q41" s="151" t="s">
        <v>376</v>
      </c>
      <c r="R41" s="151" t="s">
        <v>377</v>
      </c>
      <c r="S41" s="151" t="s">
        <v>316</v>
      </c>
      <c r="T41" s="151" t="s">
        <v>317</v>
      </c>
      <c r="U41" s="151" t="s">
        <v>318</v>
      </c>
      <c r="V41" s="151" t="s">
        <v>43</v>
      </c>
      <c r="W41" s="151" t="s">
        <v>312</v>
      </c>
      <c r="X41" s="151">
        <v>2025</v>
      </c>
      <c r="Y41" s="151">
        <v>2025</v>
      </c>
      <c r="Z41" s="151" t="s">
        <v>319</v>
      </c>
      <c r="AA41" s="151" t="s">
        <v>356</v>
      </c>
      <c r="AB41" s="151" t="s">
        <v>357</v>
      </c>
      <c r="AC41" s="151" t="s">
        <v>312</v>
      </c>
      <c r="AD41" s="151" t="s">
        <v>312</v>
      </c>
      <c r="AE41" s="151" t="s">
        <v>593</v>
      </c>
      <c r="AF41" s="151" t="s">
        <v>593</v>
      </c>
      <c r="AG41" s="151" t="s">
        <v>593</v>
      </c>
      <c r="AH41" s="151" t="s">
        <v>323</v>
      </c>
      <c r="AI41" s="151"/>
      <c r="AJ41" s="151" t="s">
        <v>324</v>
      </c>
      <c r="AK41" s="151"/>
      <c r="AL41" s="151" t="s">
        <v>325</v>
      </c>
      <c r="AM41" s="151" t="s">
        <v>326</v>
      </c>
      <c r="AN41" s="151"/>
      <c r="AO41" s="151"/>
      <c r="AP41" s="151" t="s">
        <v>327</v>
      </c>
      <c r="AQ41" s="151" t="s">
        <v>328</v>
      </c>
      <c r="AR41" s="151" t="s">
        <v>159</v>
      </c>
      <c r="AS41" s="151" t="s">
        <v>329</v>
      </c>
      <c r="AT41" s="151" t="s">
        <v>159</v>
      </c>
      <c r="AU41" s="151" t="s">
        <v>314</v>
      </c>
      <c r="AV41" s="151" t="s">
        <v>330</v>
      </c>
      <c r="AW41" s="151"/>
      <c r="AX41" s="151" t="s">
        <v>331</v>
      </c>
      <c r="AY41" s="151"/>
      <c r="AZ41" s="151"/>
      <c r="BA41" s="151" t="s">
        <v>332</v>
      </c>
      <c r="BB41" s="151" t="s">
        <v>333</v>
      </c>
      <c r="BC41" s="151" t="s">
        <v>334</v>
      </c>
      <c r="BD41" s="151" t="s">
        <v>335</v>
      </c>
      <c r="BE41" s="151"/>
      <c r="BF41" s="151"/>
      <c r="BG41" s="151"/>
      <c r="BH41" s="151"/>
      <c r="BI41" s="151"/>
      <c r="BJ41" s="151"/>
      <c r="BK41" s="151"/>
      <c r="BL41" s="151"/>
      <c r="BM41" s="151" t="s">
        <v>312</v>
      </c>
      <c r="BN41" s="151"/>
    </row>
    <row r="42" spans="1:66" x14ac:dyDescent="0.3">
      <c r="C42">
        <f>COUNTIF(C2:C40,"Mme")</f>
        <v>14</v>
      </c>
      <c r="M42"/>
    </row>
    <row r="43" spans="1:66" x14ac:dyDescent="0.3">
      <c r="C43" t="s">
        <v>766</v>
      </c>
      <c r="M43"/>
    </row>
    <row r="44" spans="1:66" x14ac:dyDescent="0.3">
      <c r="M44"/>
    </row>
    <row r="45" spans="1:66" x14ac:dyDescent="0.3">
      <c r="M45"/>
    </row>
    <row r="47" spans="1:66" x14ac:dyDescent="0.3">
      <c r="M47"/>
    </row>
    <row r="48" spans="1:66" x14ac:dyDescent="0.3">
      <c r="M48"/>
    </row>
    <row r="49" spans="1:66" x14ac:dyDescent="0.3">
      <c r="M49"/>
    </row>
    <row r="50" spans="1:66" s="166" customFormat="1" ht="15.6" x14ac:dyDescent="0.3">
      <c r="A50" s="164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/>
      <c r="BN50" s="165"/>
    </row>
    <row r="51" spans="1:66" s="133" customFormat="1" x14ac:dyDescent="0.3">
      <c r="A51" s="130"/>
      <c r="B51" s="131" t="s">
        <v>163</v>
      </c>
      <c r="C51" s="131"/>
      <c r="D51" s="131" t="s">
        <v>66</v>
      </c>
      <c r="E51" s="131" t="s">
        <v>434</v>
      </c>
      <c r="F51" s="131" t="s">
        <v>435</v>
      </c>
      <c r="G51" s="131" t="s">
        <v>436</v>
      </c>
      <c r="H51" s="131" t="s">
        <v>317</v>
      </c>
      <c r="I51" s="131" t="s">
        <v>437</v>
      </c>
      <c r="J51" s="131" t="s">
        <v>438</v>
      </c>
      <c r="K51" s="131" t="s">
        <v>43</v>
      </c>
      <c r="L51" s="131" t="s">
        <v>43</v>
      </c>
      <c r="M51" s="132" t="s">
        <v>439</v>
      </c>
      <c r="N51" s="131" t="s">
        <v>316</v>
      </c>
      <c r="O51" s="131" t="s">
        <v>440</v>
      </c>
      <c r="P51" s="131" t="s">
        <v>348</v>
      </c>
      <c r="Q51" s="131" t="s">
        <v>312</v>
      </c>
      <c r="R51" s="131" t="s">
        <v>312</v>
      </c>
      <c r="S51" s="131" t="s">
        <v>70</v>
      </c>
      <c r="T51" s="131" t="s">
        <v>441</v>
      </c>
      <c r="U51" s="131" t="s">
        <v>442</v>
      </c>
      <c r="V51" s="131" t="s">
        <v>71</v>
      </c>
      <c r="W51" s="131" t="s">
        <v>443</v>
      </c>
      <c r="X51" s="131"/>
      <c r="Y51" s="131"/>
      <c r="Z51" s="131"/>
      <c r="AA51" s="131"/>
    </row>
    <row r="52" spans="1:66" s="133" customFormat="1" x14ac:dyDescent="0.3">
      <c r="A52" s="130"/>
      <c r="B52" s="131" t="s">
        <v>134</v>
      </c>
      <c r="C52" s="131"/>
      <c r="D52" s="131" t="s">
        <v>38</v>
      </c>
      <c r="E52" s="131" t="s">
        <v>452</v>
      </c>
      <c r="F52" s="131" t="s">
        <v>445</v>
      </c>
      <c r="G52" s="131" t="s">
        <v>453</v>
      </c>
      <c r="H52" s="131" t="s">
        <v>317</v>
      </c>
      <c r="I52" s="131" t="s">
        <v>454</v>
      </c>
      <c r="J52" s="131" t="s">
        <v>438</v>
      </c>
      <c r="K52" s="131" t="s">
        <v>43</v>
      </c>
      <c r="L52" s="131" t="s">
        <v>43</v>
      </c>
      <c r="M52" s="132" t="s">
        <v>439</v>
      </c>
      <c r="N52" s="131" t="s">
        <v>316</v>
      </c>
      <c r="O52" s="131" t="s">
        <v>440</v>
      </c>
      <c r="P52" s="131" t="s">
        <v>321</v>
      </c>
      <c r="Q52" s="131" t="s">
        <v>312</v>
      </c>
      <c r="R52" s="131" t="s">
        <v>312</v>
      </c>
      <c r="S52" s="131" t="s">
        <v>45</v>
      </c>
      <c r="T52" s="131" t="s">
        <v>455</v>
      </c>
      <c r="U52" s="131" t="s">
        <v>456</v>
      </c>
      <c r="V52" s="131">
        <v>69380</v>
      </c>
      <c r="W52" s="131" t="s">
        <v>417</v>
      </c>
      <c r="X52" s="131"/>
      <c r="Y52" s="131"/>
      <c r="Z52" s="131"/>
      <c r="AA52" s="131"/>
    </row>
    <row r="54" spans="1:66" s="82" customFormat="1" x14ac:dyDescent="0.3">
      <c r="A54" s="134"/>
      <c r="B54" s="81" t="s">
        <v>466</v>
      </c>
      <c r="C54" s="81"/>
      <c r="D54" s="81" t="s">
        <v>24</v>
      </c>
      <c r="E54" s="81" t="s">
        <v>25</v>
      </c>
      <c r="F54" s="81" t="s">
        <v>467</v>
      </c>
      <c r="G54" s="81" t="s">
        <v>468</v>
      </c>
      <c r="H54" s="81" t="s">
        <v>258</v>
      </c>
      <c r="I54" s="81" t="s">
        <v>469</v>
      </c>
      <c r="J54" s="81" t="s">
        <v>259</v>
      </c>
      <c r="K54" s="81" t="s">
        <v>260</v>
      </c>
      <c r="L54" s="81" t="s">
        <v>261</v>
      </c>
      <c r="M54" s="135" t="s">
        <v>470</v>
      </c>
      <c r="N54" s="81" t="s">
        <v>471</v>
      </c>
      <c r="O54" s="81" t="s">
        <v>472</v>
      </c>
      <c r="P54" s="81" t="s">
        <v>266</v>
      </c>
      <c r="Q54" s="81" t="s">
        <v>473</v>
      </c>
      <c r="R54" s="81" t="s">
        <v>268</v>
      </c>
      <c r="S54" s="81" t="s">
        <v>132</v>
      </c>
      <c r="T54" s="81" t="s">
        <v>131</v>
      </c>
      <c r="U54" s="81" t="s">
        <v>26</v>
      </c>
      <c r="V54" s="81" t="s">
        <v>255</v>
      </c>
      <c r="W54" s="81" t="s">
        <v>27</v>
      </c>
      <c r="X54" s="81" t="s">
        <v>474</v>
      </c>
      <c r="Y54" s="81" t="s">
        <v>475</v>
      </c>
      <c r="Z54" s="81" t="s">
        <v>476</v>
      </c>
      <c r="AA54" s="81" t="s">
        <v>477</v>
      </c>
      <c r="AB54" s="81" t="s">
        <v>478</v>
      </c>
      <c r="AC54" s="81" t="s">
        <v>479</v>
      </c>
      <c r="AD54" s="81" t="s">
        <v>480</v>
      </c>
      <c r="AE54" s="81" t="s">
        <v>481</v>
      </c>
    </row>
    <row r="55" spans="1:66" s="140" customFormat="1" x14ac:dyDescent="0.3">
      <c r="A55" s="137"/>
      <c r="B55" s="138" t="s">
        <v>119</v>
      </c>
      <c r="C55" s="138"/>
      <c r="D55" s="138" t="s">
        <v>110</v>
      </c>
      <c r="E55" s="138" t="s">
        <v>111</v>
      </c>
      <c r="F55" s="138" t="s">
        <v>435</v>
      </c>
      <c r="G55" s="138" t="s">
        <v>484</v>
      </c>
      <c r="H55" s="138" t="s">
        <v>317</v>
      </c>
      <c r="I55" s="138" t="s">
        <v>485</v>
      </c>
      <c r="J55" s="138" t="s">
        <v>438</v>
      </c>
      <c r="K55" s="138" t="s">
        <v>43</v>
      </c>
      <c r="L55" s="138" t="s">
        <v>312</v>
      </c>
      <c r="M55" s="139" t="s">
        <v>439</v>
      </c>
      <c r="N55" s="138" t="s">
        <v>378</v>
      </c>
      <c r="O55" s="138" t="s">
        <v>440</v>
      </c>
      <c r="P55" s="138" t="s">
        <v>321</v>
      </c>
      <c r="Q55" s="138" t="s">
        <v>312</v>
      </c>
      <c r="R55" s="138" t="s">
        <v>312</v>
      </c>
      <c r="S55" s="138" t="s">
        <v>120</v>
      </c>
      <c r="T55" s="138" t="s">
        <v>486</v>
      </c>
      <c r="U55" s="138" t="s">
        <v>487</v>
      </c>
      <c r="V55" s="138" t="s">
        <v>121</v>
      </c>
      <c r="W55" s="138" t="s">
        <v>488</v>
      </c>
      <c r="X55" s="138"/>
      <c r="Y55" s="138"/>
      <c r="Z55" s="138"/>
      <c r="AA55" s="138"/>
      <c r="AB55" s="138"/>
      <c r="AC55" s="138"/>
      <c r="AD55" s="138"/>
      <c r="AE55" s="138"/>
    </row>
    <row r="56" spans="1:66" s="140" customFormat="1" x14ac:dyDescent="0.3">
      <c r="A56" s="137"/>
      <c r="B56" s="138" t="s">
        <v>152</v>
      </c>
      <c r="C56" s="138"/>
      <c r="D56" s="138" t="s">
        <v>489</v>
      </c>
      <c r="E56" s="138" t="s">
        <v>490</v>
      </c>
      <c r="F56" s="138" t="s">
        <v>445</v>
      </c>
      <c r="G56" s="138" t="s">
        <v>491</v>
      </c>
      <c r="H56" s="138" t="s">
        <v>317</v>
      </c>
      <c r="I56" s="138" t="s">
        <v>465</v>
      </c>
      <c r="J56" s="138" t="s">
        <v>438</v>
      </c>
      <c r="K56" s="138" t="s">
        <v>43</v>
      </c>
      <c r="L56" s="138" t="s">
        <v>43</v>
      </c>
      <c r="M56" s="139" t="s">
        <v>439</v>
      </c>
      <c r="N56" s="138" t="s">
        <v>316</v>
      </c>
      <c r="O56" s="138" t="s">
        <v>440</v>
      </c>
      <c r="P56" s="138" t="s">
        <v>348</v>
      </c>
      <c r="Q56" s="138" t="s">
        <v>312</v>
      </c>
      <c r="R56" s="138" t="s">
        <v>312</v>
      </c>
      <c r="S56" s="138" t="s">
        <v>30</v>
      </c>
      <c r="T56" s="138" t="s">
        <v>492</v>
      </c>
      <c r="U56" s="138" t="s">
        <v>493</v>
      </c>
      <c r="V56" s="138">
        <v>69380</v>
      </c>
      <c r="W56" s="138" t="s">
        <v>417</v>
      </c>
      <c r="X56" s="138"/>
      <c r="Y56" s="138"/>
      <c r="Z56" s="138"/>
      <c r="AA56" s="138"/>
      <c r="AB56" s="138"/>
      <c r="AC56" s="138"/>
      <c r="AD56" s="138"/>
      <c r="AE56" s="138"/>
    </row>
    <row r="57" spans="1:66" s="140" customFormat="1" x14ac:dyDescent="0.3">
      <c r="A57" s="137"/>
      <c r="B57" s="138" t="s">
        <v>128</v>
      </c>
      <c r="C57" s="138"/>
      <c r="D57" s="138" t="s">
        <v>114</v>
      </c>
      <c r="E57" s="138" t="s">
        <v>115</v>
      </c>
      <c r="F57" s="138" t="s">
        <v>435</v>
      </c>
      <c r="G57" s="138" t="s">
        <v>129</v>
      </c>
      <c r="H57" s="138" t="s">
        <v>317</v>
      </c>
      <c r="I57" s="138" t="s">
        <v>485</v>
      </c>
      <c r="J57" s="138" t="s">
        <v>438</v>
      </c>
      <c r="K57" s="138" t="s">
        <v>43</v>
      </c>
      <c r="L57" s="138" t="s">
        <v>312</v>
      </c>
      <c r="M57" s="139" t="s">
        <v>439</v>
      </c>
      <c r="N57" s="138" t="s">
        <v>378</v>
      </c>
      <c r="O57" s="138" t="s">
        <v>440</v>
      </c>
      <c r="P57" s="138" t="s">
        <v>321</v>
      </c>
      <c r="Q57" s="138" t="s">
        <v>312</v>
      </c>
      <c r="R57" s="138" t="s">
        <v>312</v>
      </c>
      <c r="S57" s="141" t="s">
        <v>130</v>
      </c>
      <c r="T57" s="138" t="s">
        <v>494</v>
      </c>
      <c r="U57" s="138" t="s">
        <v>495</v>
      </c>
      <c r="V57" s="138">
        <v>69480</v>
      </c>
      <c r="W57" s="138" t="s">
        <v>496</v>
      </c>
      <c r="X57" s="138"/>
      <c r="Y57" s="138"/>
      <c r="Z57" s="138"/>
      <c r="AA57" s="138"/>
      <c r="AB57" s="138"/>
      <c r="AC57" s="138"/>
      <c r="AD57" s="138"/>
      <c r="AE57" s="138"/>
    </row>
    <row r="58" spans="1:66" s="140" customFormat="1" x14ac:dyDescent="0.3">
      <c r="A58" s="137"/>
      <c r="B58" s="138" t="s">
        <v>135</v>
      </c>
      <c r="C58" s="138"/>
      <c r="D58" s="138" t="s">
        <v>90</v>
      </c>
      <c r="E58" s="138" t="s">
        <v>80</v>
      </c>
      <c r="F58" s="138" t="s">
        <v>435</v>
      </c>
      <c r="G58" s="138" t="s">
        <v>123</v>
      </c>
      <c r="H58" s="138" t="s">
        <v>317</v>
      </c>
      <c r="I58" s="138" t="s">
        <v>497</v>
      </c>
      <c r="J58" s="138" t="s">
        <v>438</v>
      </c>
      <c r="K58" s="138" t="s">
        <v>43</v>
      </c>
      <c r="L58" s="138" t="s">
        <v>43</v>
      </c>
      <c r="M58" s="139" t="s">
        <v>439</v>
      </c>
      <c r="N58" s="138" t="s">
        <v>388</v>
      </c>
      <c r="O58" s="138" t="s">
        <v>440</v>
      </c>
      <c r="P58" s="138" t="s">
        <v>462</v>
      </c>
      <c r="Q58" s="138" t="s">
        <v>312</v>
      </c>
      <c r="R58" s="138" t="s">
        <v>312</v>
      </c>
      <c r="S58" s="138" t="s">
        <v>81</v>
      </c>
      <c r="T58" s="138" t="s">
        <v>498</v>
      </c>
      <c r="U58" s="138" t="s">
        <v>499</v>
      </c>
      <c r="V58" s="138">
        <v>69480</v>
      </c>
      <c r="W58" s="138" t="s">
        <v>500</v>
      </c>
      <c r="X58" s="138" t="s">
        <v>146</v>
      </c>
      <c r="Y58" s="138" t="s">
        <v>147</v>
      </c>
      <c r="Z58" s="138" t="s">
        <v>501</v>
      </c>
      <c r="AA58" s="138" t="s">
        <v>81</v>
      </c>
      <c r="AB58" s="138" t="s">
        <v>90</v>
      </c>
      <c r="AC58" s="138" t="s">
        <v>148</v>
      </c>
      <c r="AD58" s="138" t="s">
        <v>502</v>
      </c>
      <c r="AE58" s="138"/>
    </row>
    <row r="59" spans="1:66" s="140" customFormat="1" x14ac:dyDescent="0.3">
      <c r="A59" s="137"/>
      <c r="B59" s="138" t="s">
        <v>503</v>
      </c>
      <c r="C59" s="138"/>
      <c r="D59" s="138" t="s">
        <v>82</v>
      </c>
      <c r="E59" s="138" t="s">
        <v>504</v>
      </c>
      <c r="F59" s="138" t="s">
        <v>435</v>
      </c>
      <c r="G59" s="138" t="s">
        <v>505</v>
      </c>
      <c r="H59" s="138" t="s">
        <v>317</v>
      </c>
      <c r="I59" s="138" t="s">
        <v>506</v>
      </c>
      <c r="J59" s="138" t="s">
        <v>438</v>
      </c>
      <c r="K59" s="138" t="s">
        <v>43</v>
      </c>
      <c r="L59" s="138" t="s">
        <v>43</v>
      </c>
      <c r="M59" s="139" t="s">
        <v>439</v>
      </c>
      <c r="N59" s="138" t="s">
        <v>388</v>
      </c>
      <c r="O59" s="138" t="s">
        <v>440</v>
      </c>
      <c r="P59" s="138" t="s">
        <v>389</v>
      </c>
      <c r="Q59" s="138" t="s">
        <v>312</v>
      </c>
      <c r="R59" s="138" t="s">
        <v>312</v>
      </c>
      <c r="S59" s="138" t="s">
        <v>507</v>
      </c>
      <c r="T59" s="138" t="s">
        <v>508</v>
      </c>
      <c r="U59" s="138" t="s">
        <v>509</v>
      </c>
      <c r="V59" s="138">
        <v>69380</v>
      </c>
      <c r="W59" s="138" t="s">
        <v>510</v>
      </c>
      <c r="X59" s="138"/>
      <c r="Y59" s="138"/>
      <c r="Z59" s="138"/>
      <c r="AA59" s="138"/>
    </row>
    <row r="60" spans="1:66" s="140" customFormat="1" x14ac:dyDescent="0.3">
      <c r="A60" s="137"/>
      <c r="B60" s="138" t="s">
        <v>125</v>
      </c>
      <c r="C60" s="138"/>
      <c r="D60" s="138" t="s">
        <v>112</v>
      </c>
      <c r="E60" s="138" t="s">
        <v>113</v>
      </c>
      <c r="F60" s="138" t="s">
        <v>445</v>
      </c>
      <c r="G60" s="138" t="s">
        <v>126</v>
      </c>
      <c r="H60" s="138" t="s">
        <v>317</v>
      </c>
      <c r="I60" s="138" t="s">
        <v>485</v>
      </c>
      <c r="J60" s="138" t="s">
        <v>438</v>
      </c>
      <c r="K60" s="138" t="s">
        <v>43</v>
      </c>
      <c r="L60" s="138" t="s">
        <v>312</v>
      </c>
      <c r="M60" s="139" t="s">
        <v>439</v>
      </c>
      <c r="N60" s="138" t="s">
        <v>378</v>
      </c>
      <c r="O60" s="138" t="s">
        <v>440</v>
      </c>
      <c r="P60" s="138" t="s">
        <v>348</v>
      </c>
      <c r="Q60" s="138" t="s">
        <v>312</v>
      </c>
      <c r="R60" s="138" t="s">
        <v>312</v>
      </c>
      <c r="S60" s="138" t="s">
        <v>127</v>
      </c>
      <c r="T60" s="138" t="s">
        <v>511</v>
      </c>
      <c r="U60" s="138" t="s">
        <v>495</v>
      </c>
      <c r="V60" s="138">
        <v>69480</v>
      </c>
      <c r="W60" s="138" t="s">
        <v>496</v>
      </c>
      <c r="X60" s="138"/>
      <c r="Y60" s="138"/>
      <c r="Z60" s="138"/>
      <c r="AA60" s="138"/>
      <c r="AB60" s="138"/>
      <c r="AC60" s="138"/>
      <c r="AD60" s="138"/>
      <c r="AE60" s="138"/>
    </row>
    <row r="61" spans="1:66" s="140" customFormat="1" x14ac:dyDescent="0.3">
      <c r="A61" s="137"/>
      <c r="B61" s="138" t="s">
        <v>156</v>
      </c>
      <c r="C61" s="138"/>
      <c r="D61" s="138" t="s">
        <v>153</v>
      </c>
      <c r="E61" s="138" t="s">
        <v>155</v>
      </c>
      <c r="F61" s="138" t="s">
        <v>435</v>
      </c>
      <c r="G61" s="138" t="s">
        <v>157</v>
      </c>
      <c r="H61" s="138" t="s">
        <v>317</v>
      </c>
      <c r="I61" s="138" t="s">
        <v>482</v>
      </c>
      <c r="J61" s="138" t="s">
        <v>438</v>
      </c>
      <c r="K61" s="138" t="s">
        <v>43</v>
      </c>
      <c r="L61" s="138" t="s">
        <v>312</v>
      </c>
      <c r="M61" s="139" t="s">
        <v>439</v>
      </c>
      <c r="N61" s="138" t="s">
        <v>378</v>
      </c>
      <c r="O61" s="138" t="s">
        <v>440</v>
      </c>
      <c r="P61" s="138" t="s">
        <v>348</v>
      </c>
      <c r="Q61" s="138" t="s">
        <v>312</v>
      </c>
      <c r="R61" s="138" t="s">
        <v>312</v>
      </c>
      <c r="S61" s="138" t="s">
        <v>158</v>
      </c>
      <c r="T61" s="138" t="s">
        <v>512</v>
      </c>
      <c r="U61" s="138" t="s">
        <v>513</v>
      </c>
      <c r="V61" s="138">
        <v>69380</v>
      </c>
      <c r="W61" s="138" t="s">
        <v>159</v>
      </c>
      <c r="X61" s="138"/>
      <c r="Y61" s="138"/>
      <c r="Z61" s="138"/>
      <c r="AA61" s="138"/>
    </row>
    <row r="62" spans="1:66" s="140" customFormat="1" x14ac:dyDescent="0.3">
      <c r="A62" s="137"/>
      <c r="B62" s="138" t="s">
        <v>161</v>
      </c>
      <c r="C62" s="138"/>
      <c r="D62" s="138" t="s">
        <v>153</v>
      </c>
      <c r="E62" s="138" t="s">
        <v>160</v>
      </c>
      <c r="F62" s="138" t="s">
        <v>435</v>
      </c>
      <c r="G62" s="138" t="s">
        <v>162</v>
      </c>
      <c r="H62" s="138" t="s">
        <v>317</v>
      </c>
      <c r="I62" s="138" t="s">
        <v>482</v>
      </c>
      <c r="J62" s="138" t="s">
        <v>438</v>
      </c>
      <c r="K62" s="138" t="s">
        <v>43</v>
      </c>
      <c r="L62" s="138" t="s">
        <v>312</v>
      </c>
      <c r="M62" s="139" t="s">
        <v>439</v>
      </c>
      <c r="N62" s="138" t="s">
        <v>514</v>
      </c>
      <c r="O62" s="138" t="s">
        <v>440</v>
      </c>
      <c r="P62" s="138" t="s">
        <v>514</v>
      </c>
      <c r="Q62" s="138" t="s">
        <v>312</v>
      </c>
      <c r="R62" s="138" t="s">
        <v>312</v>
      </c>
      <c r="S62" s="138" t="s">
        <v>158</v>
      </c>
      <c r="T62" s="138" t="s">
        <v>512</v>
      </c>
      <c r="U62" s="138" t="s">
        <v>515</v>
      </c>
      <c r="V62" s="138">
        <v>69380</v>
      </c>
      <c r="W62" s="138" t="s">
        <v>159</v>
      </c>
      <c r="X62" s="138" t="s">
        <v>153</v>
      </c>
      <c r="Y62" s="138" t="s">
        <v>155</v>
      </c>
      <c r="Z62" s="138" t="s">
        <v>512</v>
      </c>
      <c r="AA62" s="138" t="s">
        <v>158</v>
      </c>
    </row>
    <row r="63" spans="1:66" s="140" customFormat="1" x14ac:dyDescent="0.3">
      <c r="A63" s="137"/>
      <c r="B63" s="138" t="s">
        <v>138</v>
      </c>
      <c r="C63" s="138"/>
      <c r="D63" s="138" t="s">
        <v>84</v>
      </c>
      <c r="E63" s="138" t="s">
        <v>83</v>
      </c>
      <c r="F63" s="138" t="s">
        <v>445</v>
      </c>
      <c r="G63" s="138" t="s">
        <v>516</v>
      </c>
      <c r="H63" s="138" t="s">
        <v>317</v>
      </c>
      <c r="I63" s="138" t="s">
        <v>497</v>
      </c>
      <c r="J63" s="138" t="s">
        <v>438</v>
      </c>
      <c r="K63" s="138" t="s">
        <v>43</v>
      </c>
      <c r="L63" s="138" t="s">
        <v>43</v>
      </c>
      <c r="M63" s="139" t="s">
        <v>439</v>
      </c>
      <c r="N63" s="138" t="s">
        <v>388</v>
      </c>
      <c r="O63" s="138" t="s">
        <v>440</v>
      </c>
      <c r="P63" s="138" t="s">
        <v>399</v>
      </c>
      <c r="Q63" s="138" t="s">
        <v>312</v>
      </c>
      <c r="R63" s="138" t="s">
        <v>312</v>
      </c>
      <c r="S63" s="138" t="s">
        <v>85</v>
      </c>
      <c r="T63" s="138" t="s">
        <v>517</v>
      </c>
      <c r="U63" s="138" t="s">
        <v>518</v>
      </c>
      <c r="V63" s="138">
        <v>69380</v>
      </c>
      <c r="W63" s="138" t="s">
        <v>315</v>
      </c>
      <c r="X63" s="138" t="s">
        <v>84</v>
      </c>
      <c r="Y63" s="138" t="s">
        <v>149</v>
      </c>
      <c r="Z63" s="138" t="s">
        <v>517</v>
      </c>
      <c r="AA63" s="138" t="s">
        <v>85</v>
      </c>
      <c r="AB63" s="138"/>
      <c r="AC63" s="138"/>
      <c r="AD63" s="138"/>
      <c r="AE63" s="138"/>
    </row>
    <row r="64" spans="1:66" s="140" customFormat="1" ht="15" customHeight="1" x14ac:dyDescent="0.3">
      <c r="A64" s="137"/>
      <c r="B64" s="138" t="s">
        <v>198</v>
      </c>
      <c r="C64" s="138"/>
      <c r="D64" s="138" t="s">
        <v>44</v>
      </c>
      <c r="E64" s="138" t="s">
        <v>519</v>
      </c>
      <c r="F64" s="138" t="s">
        <v>435</v>
      </c>
      <c r="G64" s="138" t="s">
        <v>520</v>
      </c>
      <c r="H64" s="138" t="s">
        <v>317</v>
      </c>
      <c r="I64" s="138" t="s">
        <v>450</v>
      </c>
      <c r="J64" s="138" t="s">
        <v>438</v>
      </c>
      <c r="K64" s="138" t="s">
        <v>43</v>
      </c>
      <c r="L64" s="138" t="s">
        <v>43</v>
      </c>
      <c r="M64" s="139" t="s">
        <v>439</v>
      </c>
      <c r="N64" s="138" t="s">
        <v>378</v>
      </c>
      <c r="O64" s="138" t="s">
        <v>440</v>
      </c>
      <c r="P64" s="138" t="s">
        <v>357</v>
      </c>
      <c r="Q64" s="138" t="s">
        <v>312</v>
      </c>
      <c r="R64" s="138" t="s">
        <v>312</v>
      </c>
      <c r="S64" s="138" t="s">
        <v>51</v>
      </c>
      <c r="T64" s="138" t="s">
        <v>521</v>
      </c>
      <c r="U64" s="138" t="s">
        <v>522</v>
      </c>
      <c r="V64" s="138">
        <v>69450</v>
      </c>
      <c r="W64" s="138" t="s">
        <v>523</v>
      </c>
      <c r="X64" s="138"/>
      <c r="Y64" s="138"/>
      <c r="Z64" s="138"/>
      <c r="AA64" s="138"/>
    </row>
    <row r="65" spans="1:31" s="140" customFormat="1" x14ac:dyDescent="0.3">
      <c r="A65" s="137"/>
      <c r="B65" s="138" t="s">
        <v>197</v>
      </c>
      <c r="C65" s="138"/>
      <c r="D65" s="138" t="s">
        <v>103</v>
      </c>
      <c r="E65" s="138" t="s">
        <v>104</v>
      </c>
      <c r="F65" s="138" t="s">
        <v>445</v>
      </c>
      <c r="G65" s="138" t="s">
        <v>524</v>
      </c>
      <c r="H65" s="138" t="s">
        <v>317</v>
      </c>
      <c r="I65" s="138" t="s">
        <v>483</v>
      </c>
      <c r="J65" s="138" t="s">
        <v>438</v>
      </c>
      <c r="K65" s="138" t="s">
        <v>43</v>
      </c>
      <c r="L65" s="138" t="s">
        <v>43</v>
      </c>
      <c r="M65" s="139" t="s">
        <v>439</v>
      </c>
      <c r="N65" s="138" t="s">
        <v>316</v>
      </c>
      <c r="O65" s="138" t="s">
        <v>440</v>
      </c>
      <c r="P65" s="138" t="s">
        <v>348</v>
      </c>
      <c r="Q65" s="138" t="s">
        <v>312</v>
      </c>
      <c r="R65" s="138" t="s">
        <v>312</v>
      </c>
      <c r="S65" s="138" t="s">
        <v>105</v>
      </c>
      <c r="T65" s="138" t="s">
        <v>525</v>
      </c>
      <c r="U65" s="138" t="s">
        <v>526</v>
      </c>
      <c r="V65" s="138">
        <v>69570</v>
      </c>
      <c r="W65" s="138" t="s">
        <v>355</v>
      </c>
      <c r="X65" s="138"/>
      <c r="Y65" s="138"/>
      <c r="Z65" s="138"/>
      <c r="AA65" s="138"/>
    </row>
    <row r="66" spans="1:31" s="140" customFormat="1" x14ac:dyDescent="0.3">
      <c r="A66" s="137"/>
      <c r="B66" s="138" t="s">
        <v>184</v>
      </c>
      <c r="C66" s="138"/>
      <c r="D66" s="138" t="s">
        <v>185</v>
      </c>
      <c r="E66" s="138" t="s">
        <v>186</v>
      </c>
      <c r="F66" s="138" t="s">
        <v>445</v>
      </c>
      <c r="G66" s="138" t="s">
        <v>187</v>
      </c>
      <c r="H66" s="138" t="s">
        <v>317</v>
      </c>
      <c r="I66" s="138" t="s">
        <v>527</v>
      </c>
      <c r="J66" s="138" t="s">
        <v>438</v>
      </c>
      <c r="K66" s="138" t="s">
        <v>43</v>
      </c>
      <c r="L66" s="138" t="s">
        <v>312</v>
      </c>
      <c r="M66" s="139" t="s">
        <v>439</v>
      </c>
      <c r="N66" s="138" t="s">
        <v>514</v>
      </c>
      <c r="O66" s="138" t="s">
        <v>440</v>
      </c>
      <c r="P66" s="138" t="s">
        <v>514</v>
      </c>
      <c r="Q66" s="138" t="s">
        <v>312</v>
      </c>
      <c r="R66" s="138" t="s">
        <v>312</v>
      </c>
      <c r="S66" s="138" t="s">
        <v>190</v>
      </c>
      <c r="T66" s="138" t="s">
        <v>528</v>
      </c>
      <c r="U66" s="138" t="s">
        <v>529</v>
      </c>
      <c r="V66" s="138">
        <v>69380</v>
      </c>
      <c r="W66" s="138" t="s">
        <v>191</v>
      </c>
      <c r="X66" s="138" t="s">
        <v>188</v>
      </c>
      <c r="Y66" s="138" t="s">
        <v>189</v>
      </c>
      <c r="Z66" s="138" t="s">
        <v>528</v>
      </c>
      <c r="AA66" s="138" t="s">
        <v>190</v>
      </c>
    </row>
    <row r="67" spans="1:31" s="140" customFormat="1" x14ac:dyDescent="0.3">
      <c r="A67" s="137"/>
      <c r="B67" s="138" t="s">
        <v>143</v>
      </c>
      <c r="C67" s="138"/>
      <c r="D67" s="138" t="s">
        <v>67</v>
      </c>
      <c r="E67" s="138" t="s">
        <v>68</v>
      </c>
      <c r="F67" s="138" t="s">
        <v>445</v>
      </c>
      <c r="G67" s="138" t="s">
        <v>530</v>
      </c>
      <c r="H67" s="138" t="s">
        <v>317</v>
      </c>
      <c r="I67" s="138" t="s">
        <v>497</v>
      </c>
      <c r="J67" s="138" t="s">
        <v>438</v>
      </c>
      <c r="K67" s="138" t="s">
        <v>43</v>
      </c>
      <c r="L67" s="138" t="s">
        <v>43</v>
      </c>
      <c r="M67" s="139" t="s">
        <v>439</v>
      </c>
      <c r="N67" s="138" t="s">
        <v>388</v>
      </c>
      <c r="O67" s="138" t="s">
        <v>440</v>
      </c>
      <c r="P67" s="138" t="s">
        <v>389</v>
      </c>
      <c r="Q67" s="138" t="s">
        <v>312</v>
      </c>
      <c r="R67" s="138" t="s">
        <v>312</v>
      </c>
      <c r="S67" s="141" t="s">
        <v>89</v>
      </c>
      <c r="T67" s="138" t="s">
        <v>531</v>
      </c>
      <c r="U67" s="138" t="s">
        <v>532</v>
      </c>
      <c r="V67" s="138">
        <v>69380</v>
      </c>
      <c r="W67" s="138" t="s">
        <v>191</v>
      </c>
      <c r="X67" s="138" t="s">
        <v>150</v>
      </c>
      <c r="Y67" s="138" t="s">
        <v>151</v>
      </c>
      <c r="Z67" s="138" t="s">
        <v>533</v>
      </c>
      <c r="AA67" s="138" t="s">
        <v>89</v>
      </c>
      <c r="AB67" s="138"/>
      <c r="AC67" s="138"/>
      <c r="AD67" s="138"/>
      <c r="AE67" s="138"/>
    </row>
  </sheetData>
  <autoFilter ref="A1:BN43" xr:uid="{0F05F138-364E-4D1D-B0F1-28F20D169A9A}"/>
  <sortState xmlns:xlrd2="http://schemas.microsoft.com/office/spreadsheetml/2017/richdata2" ref="A2:BN41">
    <sortCondition ref="D2:D41"/>
  </sortState>
  <hyperlinks>
    <hyperlink ref="S57" r:id="rId1" xr:uid="{390970E0-1597-457E-B412-DDF3CCE77D1E}"/>
    <hyperlink ref="S67" r:id="rId2" xr:uid="{33E190BF-A969-4FAB-977A-321A60F8C5E6}"/>
    <hyperlink ref="K30" r:id="rId3" xr:uid="{3925865D-D7E7-473D-83F7-8EDECCAE9242}"/>
    <hyperlink ref="K22" r:id="rId4" xr:uid="{4898A0FA-9D7D-49A2-9173-F587BC906210}"/>
    <hyperlink ref="K41" r:id="rId5" xr:uid="{28BF8ECC-80D2-4084-8085-53588AEBAB93}"/>
    <hyperlink ref="N17" r:id="rId6" xr:uid="{FC124FAE-D445-4A29-BD89-717314710CCF}"/>
    <hyperlink ref="K17" r:id="rId7" xr:uid="{CAFD5BC8-D25F-4287-BEF6-A2212DEAF190}"/>
    <hyperlink ref="K12" r:id="rId8" xr:uid="{5510A496-8584-42F4-84EB-195F0E1976C3}"/>
    <hyperlink ref="K34" r:id="rId9" xr:uid="{E0896A54-A5F0-46AF-B69E-13C223C4D98C}"/>
    <hyperlink ref="K21" r:id="rId10" xr:uid="{CFBB952A-CDB9-4772-84EA-6628C357BC98}"/>
    <hyperlink ref="K40" r:id="rId11" xr:uid="{3F6F7876-3F57-4297-BB82-3ACE9D5A4B4B}"/>
    <hyperlink ref="K26" r:id="rId12" xr:uid="{1F1D736C-2F3A-4EBF-A75F-0E385CBF071B}"/>
    <hyperlink ref="K2" r:id="rId13" xr:uid="{DED8AA05-02D4-4F54-BB3D-871D4D32C12F}"/>
    <hyperlink ref="N35" r:id="rId14" xr:uid="{88B36987-9531-4FF4-A118-8A1C7E96F535}"/>
    <hyperlink ref="K35" r:id="rId15" xr:uid="{DFE09E5B-6302-4C92-8793-1E8E57CE2E65}"/>
    <hyperlink ref="K33" r:id="rId16" xr:uid="{D055F686-261C-40D3-A3A0-639604FADE3C}"/>
    <hyperlink ref="K24" r:id="rId17" xr:uid="{1DDA055A-895B-4C2F-85AE-2244FE6AE48F}"/>
    <hyperlink ref="K15" r:id="rId18" xr:uid="{407E7B3E-FD8E-4593-9320-A80A2CD054D7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55B3A-D946-41CF-BFBA-D1D9A78744B7}">
  <dimension ref="A1:I37"/>
  <sheetViews>
    <sheetView zoomScale="85" zoomScaleNormal="85" workbookViewId="0">
      <selection activeCell="A7" sqref="A7:G9"/>
    </sheetView>
  </sheetViews>
  <sheetFormatPr baseColWidth="10" defaultRowHeight="14.4" x14ac:dyDescent="0.3"/>
  <cols>
    <col min="1" max="1" width="24.88671875" customWidth="1"/>
    <col min="3" max="3" width="16" customWidth="1"/>
    <col min="6" max="6" width="13.33203125" bestFit="1" customWidth="1"/>
  </cols>
  <sheetData>
    <row r="1" spans="1:7" x14ac:dyDescent="0.3">
      <c r="E1">
        <v>0.2</v>
      </c>
    </row>
    <row r="2" spans="1:7" x14ac:dyDescent="0.3">
      <c r="A2" t="s">
        <v>838</v>
      </c>
      <c r="B2" t="s">
        <v>839</v>
      </c>
      <c r="C2" t="s">
        <v>840</v>
      </c>
      <c r="D2" t="s">
        <v>841</v>
      </c>
      <c r="E2" t="s">
        <v>842</v>
      </c>
      <c r="F2" t="s">
        <v>843</v>
      </c>
    </row>
    <row r="3" spans="1:7" x14ac:dyDescent="0.3">
      <c r="A3" t="s">
        <v>844</v>
      </c>
      <c r="B3" s="244">
        <v>45605</v>
      </c>
      <c r="C3" t="s">
        <v>845</v>
      </c>
      <c r="D3">
        <f>2*63.1</f>
        <v>126.2</v>
      </c>
      <c r="E3">
        <f>D3*E1</f>
        <v>25.240000000000002</v>
      </c>
    </row>
    <row r="4" spans="1:7" x14ac:dyDescent="0.3">
      <c r="A4" t="s">
        <v>33</v>
      </c>
      <c r="B4" t="s">
        <v>1432</v>
      </c>
      <c r="C4" t="s">
        <v>1435</v>
      </c>
      <c r="D4">
        <f>2*21.5</f>
        <v>43</v>
      </c>
      <c r="E4">
        <f>D4*0.2*2</f>
        <v>17.2</v>
      </c>
    </row>
    <row r="5" spans="1:7" x14ac:dyDescent="0.3">
      <c r="A5" t="s">
        <v>33</v>
      </c>
      <c r="B5" t="s">
        <v>1434</v>
      </c>
      <c r="C5" t="s">
        <v>1433</v>
      </c>
      <c r="D5">
        <f>2*21.8</f>
        <v>43.6</v>
      </c>
      <c r="E5">
        <f>D5*0.2</f>
        <v>8.7200000000000006</v>
      </c>
    </row>
    <row r="7" spans="1:7" x14ac:dyDescent="0.3">
      <c r="B7" s="142" t="s">
        <v>839</v>
      </c>
      <c r="C7" s="142" t="s">
        <v>840</v>
      </c>
      <c r="D7" s="142" t="s">
        <v>841</v>
      </c>
      <c r="E7" s="142" t="s">
        <v>842</v>
      </c>
      <c r="F7" s="142" t="s">
        <v>843</v>
      </c>
      <c r="G7" s="155" t="s">
        <v>537</v>
      </c>
    </row>
    <row r="8" spans="1:7" x14ac:dyDescent="0.3">
      <c r="A8" s="445"/>
      <c r="B8" s="142"/>
      <c r="C8" s="142"/>
      <c r="D8" s="142"/>
      <c r="E8" s="142">
        <v>0.52900000000000003</v>
      </c>
      <c r="F8" s="142"/>
      <c r="G8" s="142"/>
    </row>
    <row r="9" spans="1:7" x14ac:dyDescent="0.3">
      <c r="A9" s="142" t="s">
        <v>1470</v>
      </c>
      <c r="B9" s="142" t="s">
        <v>1434</v>
      </c>
      <c r="C9" s="142" t="s">
        <v>1471</v>
      </c>
      <c r="D9" s="142">
        <f>2*149</f>
        <v>298</v>
      </c>
      <c r="E9" s="444">
        <f>D9*E8</f>
        <v>157.642</v>
      </c>
      <c r="F9" s="142">
        <v>32.6</v>
      </c>
      <c r="G9" s="444">
        <f>E9+F9</f>
        <v>190.24199999999999</v>
      </c>
    </row>
    <row r="19" spans="1:9" x14ac:dyDescent="0.3">
      <c r="A19" s="602" t="s">
        <v>1431</v>
      </c>
      <c r="B19" s="602"/>
      <c r="C19" s="602"/>
      <c r="D19" s="602"/>
      <c r="E19" s="602"/>
      <c r="F19" s="602"/>
      <c r="G19" s="602"/>
      <c r="H19" s="602"/>
      <c r="I19" s="602"/>
    </row>
    <row r="20" spans="1:9" x14ac:dyDescent="0.3">
      <c r="B20" s="155" t="s">
        <v>1420</v>
      </c>
      <c r="C20" s="155" t="s">
        <v>1421</v>
      </c>
      <c r="D20" s="155" t="s">
        <v>1422</v>
      </c>
      <c r="E20" s="155" t="s">
        <v>1423</v>
      </c>
      <c r="F20" s="155" t="s">
        <v>537</v>
      </c>
      <c r="G20" s="155"/>
      <c r="H20" s="155" t="s">
        <v>838</v>
      </c>
      <c r="I20" s="155" t="s">
        <v>537</v>
      </c>
    </row>
    <row r="21" spans="1:9" x14ac:dyDescent="0.3">
      <c r="A21" s="425" t="s">
        <v>1424</v>
      </c>
      <c r="B21" s="363">
        <f>2*149</f>
        <v>298</v>
      </c>
      <c r="C21" s="363">
        <v>0.2</v>
      </c>
      <c r="D21" s="363">
        <f t="shared" ref="D21:D26" si="0">C21*B21</f>
        <v>59.6</v>
      </c>
      <c r="E21" s="363">
        <f>16.3*2</f>
        <v>32.6</v>
      </c>
      <c r="F21" s="363">
        <f>D21+E21</f>
        <v>92.2</v>
      </c>
      <c r="G21" s="435">
        <v>1</v>
      </c>
      <c r="H21" s="363" t="s">
        <v>1425</v>
      </c>
      <c r="I21" s="363">
        <f>F21*G21</f>
        <v>92.2</v>
      </c>
    </row>
    <row r="22" spans="1:9" x14ac:dyDescent="0.3">
      <c r="A22" s="425"/>
      <c r="B22" s="363">
        <f>2*149</f>
        <v>298</v>
      </c>
      <c r="C22" s="363">
        <v>0.52900000000000003</v>
      </c>
      <c r="D22" s="426">
        <f t="shared" si="0"/>
        <v>157.642</v>
      </c>
      <c r="E22" s="426">
        <f>16.3*2</f>
        <v>32.6</v>
      </c>
      <c r="F22" s="426">
        <f>D22+E22</f>
        <v>190.24199999999999</v>
      </c>
      <c r="G22" s="435">
        <v>1</v>
      </c>
      <c r="H22" s="363" t="s">
        <v>208</v>
      </c>
      <c r="I22" s="363">
        <f t="shared" ref="I22:I26" si="1">F22*G22</f>
        <v>190.24199999999999</v>
      </c>
    </row>
    <row r="23" spans="1:9" x14ac:dyDescent="0.3">
      <c r="A23" s="427" t="s">
        <v>1426</v>
      </c>
      <c r="B23" s="428">
        <f>2*66</f>
        <v>132</v>
      </c>
      <c r="C23" s="428">
        <v>0.2</v>
      </c>
      <c r="D23" s="428">
        <f t="shared" si="0"/>
        <v>26.400000000000002</v>
      </c>
      <c r="E23" s="428"/>
      <c r="F23" s="428">
        <f>D23</f>
        <v>26.400000000000002</v>
      </c>
      <c r="G23" s="436">
        <v>1</v>
      </c>
      <c r="H23" s="428" t="s">
        <v>1427</v>
      </c>
      <c r="I23" s="363">
        <f t="shared" si="1"/>
        <v>26.400000000000002</v>
      </c>
    </row>
    <row r="24" spans="1:9" x14ac:dyDescent="0.3">
      <c r="A24" s="427"/>
      <c r="B24" s="428">
        <f>2*66</f>
        <v>132</v>
      </c>
      <c r="C24" s="428">
        <v>0.52900000000000003</v>
      </c>
      <c r="D24" s="429">
        <f t="shared" si="0"/>
        <v>69.828000000000003</v>
      </c>
      <c r="E24" s="428"/>
      <c r="F24" s="428">
        <f>D24</f>
        <v>69.828000000000003</v>
      </c>
      <c r="G24" s="436">
        <v>1</v>
      </c>
      <c r="H24" s="428" t="s">
        <v>208</v>
      </c>
      <c r="I24" s="363">
        <f t="shared" si="1"/>
        <v>69.828000000000003</v>
      </c>
    </row>
    <row r="25" spans="1:9" x14ac:dyDescent="0.3">
      <c r="A25" s="430" t="s">
        <v>1428</v>
      </c>
      <c r="B25" s="431">
        <f>150*2</f>
        <v>300</v>
      </c>
      <c r="C25" s="431">
        <v>0.2</v>
      </c>
      <c r="D25" s="432">
        <f t="shared" si="0"/>
        <v>60</v>
      </c>
      <c r="E25" s="431">
        <f>2*5.6</f>
        <v>11.2</v>
      </c>
      <c r="F25" s="432">
        <f>(D25+E25)</f>
        <v>71.2</v>
      </c>
      <c r="G25" s="437">
        <v>3</v>
      </c>
      <c r="H25" s="431" t="s">
        <v>1429</v>
      </c>
      <c r="I25" s="363">
        <f t="shared" si="1"/>
        <v>213.60000000000002</v>
      </c>
    </row>
    <row r="26" spans="1:9" x14ac:dyDescent="0.3">
      <c r="A26" s="82" t="s">
        <v>1430</v>
      </c>
      <c r="B26" s="246">
        <f>2*132</f>
        <v>264</v>
      </c>
      <c r="C26" s="246">
        <v>0.2</v>
      </c>
      <c r="D26" s="433">
        <f t="shared" si="0"/>
        <v>52.800000000000004</v>
      </c>
      <c r="E26" s="246">
        <f>15.2*2</f>
        <v>30.4</v>
      </c>
      <c r="F26" s="433">
        <f>(D26+E26)</f>
        <v>83.2</v>
      </c>
      <c r="G26" s="438">
        <v>3</v>
      </c>
      <c r="H26" s="246" t="s">
        <v>1429</v>
      </c>
      <c r="I26" s="363">
        <f t="shared" si="1"/>
        <v>249.60000000000002</v>
      </c>
    </row>
    <row r="27" spans="1:9" x14ac:dyDescent="0.3">
      <c r="I27" s="434">
        <f>SUM(I21:I26)</f>
        <v>841.87</v>
      </c>
    </row>
    <row r="29" spans="1:9" x14ac:dyDescent="0.3">
      <c r="A29" s="602" t="s">
        <v>1431</v>
      </c>
      <c r="B29" s="602"/>
      <c r="C29" s="602"/>
      <c r="D29" s="602"/>
      <c r="E29" s="602"/>
      <c r="F29" s="602"/>
      <c r="G29" s="602"/>
      <c r="H29" s="602"/>
      <c r="I29" s="602"/>
    </row>
    <row r="30" spans="1:9" x14ac:dyDescent="0.3">
      <c r="B30" s="155" t="s">
        <v>1420</v>
      </c>
      <c r="C30" s="155" t="s">
        <v>1421</v>
      </c>
      <c r="D30" s="155" t="s">
        <v>1422</v>
      </c>
      <c r="E30" s="155" t="s">
        <v>1423</v>
      </c>
      <c r="F30" s="155" t="s">
        <v>537</v>
      </c>
      <c r="G30" s="155"/>
      <c r="H30" s="155" t="s">
        <v>838</v>
      </c>
      <c r="I30" s="155" t="s">
        <v>537</v>
      </c>
    </row>
    <row r="31" spans="1:9" x14ac:dyDescent="0.3">
      <c r="A31" s="425" t="s">
        <v>1424</v>
      </c>
      <c r="B31" s="363">
        <f>2*149</f>
        <v>298</v>
      </c>
      <c r="C31" s="363">
        <v>0.2</v>
      </c>
      <c r="D31" s="363">
        <f t="shared" ref="D31:D36" si="2">C31*B31</f>
        <v>59.6</v>
      </c>
      <c r="E31" s="363">
        <f>16.3*2</f>
        <v>32.6</v>
      </c>
      <c r="F31" s="363">
        <f>D31+E31</f>
        <v>92.2</v>
      </c>
      <c r="G31" s="435">
        <v>0</v>
      </c>
      <c r="H31" s="363" t="s">
        <v>1425</v>
      </c>
      <c r="I31" s="363">
        <f>F31*G31</f>
        <v>0</v>
      </c>
    </row>
    <row r="32" spans="1:9" x14ac:dyDescent="0.3">
      <c r="A32" s="425"/>
      <c r="B32" s="363">
        <f>2*149</f>
        <v>298</v>
      </c>
      <c r="C32" s="363">
        <v>0.52900000000000003</v>
      </c>
      <c r="D32" s="426">
        <f t="shared" si="2"/>
        <v>157.642</v>
      </c>
      <c r="E32" s="426">
        <f>16.3*2</f>
        <v>32.6</v>
      </c>
      <c r="F32" s="426">
        <f>D32+E32</f>
        <v>190.24199999999999</v>
      </c>
      <c r="G32" s="435">
        <v>1</v>
      </c>
      <c r="H32" s="363" t="s">
        <v>208</v>
      </c>
      <c r="I32" s="363">
        <f t="shared" ref="I32:I36" si="3">F32*G32</f>
        <v>190.24199999999999</v>
      </c>
    </row>
    <row r="33" spans="1:9" x14ac:dyDescent="0.3">
      <c r="A33" s="427" t="s">
        <v>1426</v>
      </c>
      <c r="B33" s="428">
        <f>2*66</f>
        <v>132</v>
      </c>
      <c r="C33" s="428">
        <v>0.2</v>
      </c>
      <c r="D33" s="428">
        <f t="shared" si="2"/>
        <v>26.400000000000002</v>
      </c>
      <c r="E33" s="428"/>
      <c r="F33" s="428">
        <f>D33</f>
        <v>26.400000000000002</v>
      </c>
      <c r="G33" s="436">
        <v>0</v>
      </c>
      <c r="H33" s="428" t="s">
        <v>1427</v>
      </c>
      <c r="I33" s="363">
        <f t="shared" si="3"/>
        <v>0</v>
      </c>
    </row>
    <row r="34" spans="1:9" x14ac:dyDescent="0.3">
      <c r="A34" s="427"/>
      <c r="B34" s="428">
        <f>2*66</f>
        <v>132</v>
      </c>
      <c r="C34" s="428">
        <v>0.52900000000000003</v>
      </c>
      <c r="D34" s="429">
        <f t="shared" si="2"/>
        <v>69.828000000000003</v>
      </c>
      <c r="E34" s="428"/>
      <c r="F34" s="428">
        <f>D34</f>
        <v>69.828000000000003</v>
      </c>
      <c r="G34" s="436">
        <v>1</v>
      </c>
      <c r="H34" s="428" t="s">
        <v>208</v>
      </c>
      <c r="I34" s="363">
        <f t="shared" si="3"/>
        <v>69.828000000000003</v>
      </c>
    </row>
    <row r="35" spans="1:9" x14ac:dyDescent="0.3">
      <c r="A35" s="430" t="s">
        <v>1428</v>
      </c>
      <c r="B35" s="431">
        <f>150*2</f>
        <v>300</v>
      </c>
      <c r="C35" s="431">
        <v>0.2</v>
      </c>
      <c r="D35" s="432">
        <f t="shared" si="2"/>
        <v>60</v>
      </c>
      <c r="E35" s="431">
        <f>2*5.6</f>
        <v>11.2</v>
      </c>
      <c r="F35" s="432">
        <f>(D35+E35)</f>
        <v>71.2</v>
      </c>
      <c r="G35" s="437">
        <v>0</v>
      </c>
      <c r="H35" s="431" t="s">
        <v>1429</v>
      </c>
      <c r="I35" s="363">
        <f t="shared" si="3"/>
        <v>0</v>
      </c>
    </row>
    <row r="36" spans="1:9" x14ac:dyDescent="0.3">
      <c r="A36" s="82" t="s">
        <v>1430</v>
      </c>
      <c r="B36" s="246">
        <f>2*132</f>
        <v>264</v>
      </c>
      <c r="C36" s="246">
        <v>0.2</v>
      </c>
      <c r="D36" s="433">
        <f t="shared" si="2"/>
        <v>52.800000000000004</v>
      </c>
      <c r="E36" s="246">
        <f>15.2*2</f>
        <v>30.4</v>
      </c>
      <c r="F36" s="433">
        <f>(D36+E36)</f>
        <v>83.2</v>
      </c>
      <c r="G36" s="438">
        <v>0</v>
      </c>
      <c r="H36" s="246" t="s">
        <v>1429</v>
      </c>
      <c r="I36" s="363">
        <f t="shared" si="3"/>
        <v>0</v>
      </c>
    </row>
    <row r="37" spans="1:9" x14ac:dyDescent="0.3">
      <c r="I37" s="434">
        <f>SUM(I31:I36)</f>
        <v>260.07</v>
      </c>
    </row>
  </sheetData>
  <mergeCells count="2">
    <mergeCell ref="A19:I19"/>
    <mergeCell ref="A29:I2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4D72C-D131-44B1-8B4A-0435B510E620}">
  <sheetPr>
    <pageSetUpPr fitToPage="1"/>
  </sheetPr>
  <dimension ref="A1:D27"/>
  <sheetViews>
    <sheetView showGridLines="0" workbookViewId="0">
      <selection activeCell="I15" sqref="I15"/>
    </sheetView>
  </sheetViews>
  <sheetFormatPr baseColWidth="10" defaultRowHeight="14.4" x14ac:dyDescent="0.3"/>
  <cols>
    <col min="1" max="1" width="8.44140625" customWidth="1"/>
    <col min="2" max="2" width="48.77734375" customWidth="1"/>
  </cols>
  <sheetData>
    <row r="1" spans="1:4" x14ac:dyDescent="0.3">
      <c r="A1" s="439" t="s">
        <v>1439</v>
      </c>
      <c r="B1" s="440"/>
      <c r="C1" s="440"/>
      <c r="D1" s="440"/>
    </row>
    <row r="2" spans="1:4" x14ac:dyDescent="0.3">
      <c r="B2" t="s">
        <v>1440</v>
      </c>
    </row>
    <row r="3" spans="1:4" x14ac:dyDescent="0.3">
      <c r="B3" t="s">
        <v>1441</v>
      </c>
    </row>
    <row r="4" spans="1:4" x14ac:dyDescent="0.3">
      <c r="B4" t="s">
        <v>1442</v>
      </c>
    </row>
    <row r="5" spans="1:4" x14ac:dyDescent="0.3">
      <c r="B5" t="s">
        <v>1443</v>
      </c>
    </row>
    <row r="6" spans="1:4" x14ac:dyDescent="0.3">
      <c r="B6" t="s">
        <v>1444</v>
      </c>
    </row>
    <row r="7" spans="1:4" x14ac:dyDescent="0.3">
      <c r="B7" t="s">
        <v>1445</v>
      </c>
    </row>
    <row r="8" spans="1:4" x14ac:dyDescent="0.3">
      <c r="B8" t="s">
        <v>1411</v>
      </c>
    </row>
    <row r="9" spans="1:4" x14ac:dyDescent="0.3">
      <c r="A9" s="439" t="s">
        <v>1446</v>
      </c>
      <c r="B9" s="440"/>
      <c r="C9" s="440"/>
      <c r="D9" s="440"/>
    </row>
    <row r="10" spans="1:4" x14ac:dyDescent="0.3">
      <c r="B10" t="s">
        <v>1466</v>
      </c>
    </row>
    <row r="11" spans="1:4" x14ac:dyDescent="0.3">
      <c r="B11" t="s">
        <v>1447</v>
      </c>
    </row>
    <row r="12" spans="1:4" x14ac:dyDescent="0.3">
      <c r="A12" s="439" t="s">
        <v>1465</v>
      </c>
      <c r="B12" s="440"/>
      <c r="C12" s="440"/>
      <c r="D12" s="440"/>
    </row>
    <row r="13" spans="1:4" x14ac:dyDescent="0.3">
      <c r="B13" t="s">
        <v>1448</v>
      </c>
    </row>
    <row r="14" spans="1:4" x14ac:dyDescent="0.3">
      <c r="B14" t="s">
        <v>1449</v>
      </c>
    </row>
    <row r="15" spans="1:4" x14ac:dyDescent="0.3">
      <c r="B15" t="s">
        <v>1450</v>
      </c>
    </row>
    <row r="16" spans="1:4" x14ac:dyDescent="0.3">
      <c r="B16" t="s">
        <v>1451</v>
      </c>
    </row>
    <row r="17" spans="1:4" x14ac:dyDescent="0.3">
      <c r="B17" t="s">
        <v>1445</v>
      </c>
    </row>
    <row r="18" spans="1:4" x14ac:dyDescent="0.3">
      <c r="B18" s="441" t="s">
        <v>1452</v>
      </c>
    </row>
    <row r="19" spans="1:4" x14ac:dyDescent="0.3">
      <c r="B19" s="441" t="s">
        <v>1453</v>
      </c>
    </row>
    <row r="20" spans="1:4" x14ac:dyDescent="0.3">
      <c r="A20" s="439" t="s">
        <v>1454</v>
      </c>
      <c r="B20" s="440"/>
      <c r="C20" s="440"/>
      <c r="D20" s="440"/>
    </row>
    <row r="21" spans="1:4" x14ac:dyDescent="0.3">
      <c r="B21" t="s">
        <v>1455</v>
      </c>
    </row>
    <row r="22" spans="1:4" x14ac:dyDescent="0.3">
      <c r="B22" t="s">
        <v>1456</v>
      </c>
    </row>
    <row r="23" spans="1:4" x14ac:dyDescent="0.3">
      <c r="B23" t="s">
        <v>1457</v>
      </c>
    </row>
    <row r="24" spans="1:4" x14ac:dyDescent="0.3">
      <c r="A24" s="439" t="s">
        <v>1458</v>
      </c>
      <c r="B24" s="442"/>
      <c r="C24" s="3" t="s">
        <v>780</v>
      </c>
      <c r="D24" s="3" t="s">
        <v>1422</v>
      </c>
    </row>
    <row r="25" spans="1:4" x14ac:dyDescent="0.3">
      <c r="B25" t="s">
        <v>1459</v>
      </c>
      <c r="C25" s="443">
        <v>150</v>
      </c>
      <c r="D25" s="3" t="s">
        <v>1460</v>
      </c>
    </row>
    <row r="26" spans="1:4" x14ac:dyDescent="0.3">
      <c r="B26" t="s">
        <v>1461</v>
      </c>
      <c r="C26" s="443">
        <v>300</v>
      </c>
      <c r="D26" s="443" t="s">
        <v>1462</v>
      </c>
    </row>
    <row r="27" spans="1:4" x14ac:dyDescent="0.3">
      <c r="B27" t="s">
        <v>1463</v>
      </c>
      <c r="C27" s="443">
        <v>400</v>
      </c>
      <c r="D27" s="3" t="s">
        <v>1464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CB3A8-B20E-4C19-A9F9-931BA1FF987E}">
  <dimension ref="A1:N27"/>
  <sheetViews>
    <sheetView showGridLines="0" zoomScale="70" zoomScaleNormal="70" workbookViewId="0">
      <selection sqref="A1:L26"/>
    </sheetView>
  </sheetViews>
  <sheetFormatPr baseColWidth="10" defaultRowHeight="18" x14ac:dyDescent="0.35"/>
  <cols>
    <col min="1" max="1" width="37.44140625" customWidth="1"/>
    <col min="2" max="2" width="14.33203125" hidden="1" customWidth="1"/>
    <col min="3" max="3" width="11.88671875" hidden="1" customWidth="1"/>
    <col min="4" max="4" width="17.33203125" hidden="1" customWidth="1"/>
    <col min="5" max="6" width="17.88671875" hidden="1" customWidth="1"/>
    <col min="7" max="8" width="17.88671875" customWidth="1"/>
    <col min="9" max="9" width="58.44140625" hidden="1" customWidth="1"/>
    <col min="10" max="11" width="22.21875" customWidth="1"/>
    <col min="12" max="12" width="70.109375" style="367" bestFit="1" customWidth="1"/>
    <col min="13" max="13" width="22.21875" customWidth="1"/>
    <col min="14" max="14" width="22.5546875" style="454" customWidth="1"/>
  </cols>
  <sheetData>
    <row r="1" spans="1:14" x14ac:dyDescent="0.35">
      <c r="E1" s="566" t="s">
        <v>796</v>
      </c>
      <c r="F1" s="567"/>
      <c r="G1" s="568" t="s">
        <v>797</v>
      </c>
      <c r="H1" s="569"/>
      <c r="I1" s="522"/>
      <c r="J1" s="570" t="s">
        <v>1591</v>
      </c>
      <c r="K1" s="570"/>
      <c r="L1" s="541"/>
      <c r="M1" s="534"/>
    </row>
    <row r="2" spans="1:14" x14ac:dyDescent="0.35">
      <c r="A2" s="182"/>
      <c r="B2" s="183" t="s">
        <v>784</v>
      </c>
      <c r="C2" s="183" t="s">
        <v>785</v>
      </c>
      <c r="D2" s="183" t="s">
        <v>1570</v>
      </c>
      <c r="E2" s="183" t="s">
        <v>786</v>
      </c>
      <c r="F2" s="183" t="s">
        <v>787</v>
      </c>
      <c r="G2" s="423" t="s">
        <v>786</v>
      </c>
      <c r="H2" s="423" t="s">
        <v>787</v>
      </c>
      <c r="I2" s="523"/>
      <c r="J2" s="538" t="s">
        <v>1579</v>
      </c>
      <c r="K2" s="538" t="s">
        <v>1580</v>
      </c>
      <c r="L2" s="541"/>
      <c r="M2" s="534"/>
    </row>
    <row r="3" spans="1:14" x14ac:dyDescent="0.35">
      <c r="A3" s="142" t="s">
        <v>788</v>
      </c>
      <c r="B3" s="184">
        <v>3567.6</v>
      </c>
      <c r="C3" s="185"/>
      <c r="D3" s="185"/>
      <c r="E3" s="370">
        <v>3800</v>
      </c>
      <c r="F3" s="371"/>
      <c r="G3" s="424">
        <f>SUM('Compte 2024-25'!R4:U4)</f>
        <v>4236</v>
      </c>
      <c r="H3" s="424"/>
      <c r="I3" s="142" t="s">
        <v>1586</v>
      </c>
      <c r="J3" s="539">
        <v>4400</v>
      </c>
      <c r="K3" s="539"/>
    </row>
    <row r="4" spans="1:14" x14ac:dyDescent="0.35">
      <c r="A4" s="142" t="s">
        <v>789</v>
      </c>
      <c r="B4" s="184">
        <v>1800</v>
      </c>
      <c r="C4" s="185"/>
      <c r="D4" s="185"/>
      <c r="E4" s="370">
        <v>1800</v>
      </c>
      <c r="F4" s="371"/>
      <c r="G4" s="424">
        <f>'Compte 2024-25'!Q4</f>
        <v>1800</v>
      </c>
      <c r="H4" s="424"/>
      <c r="I4" s="142"/>
      <c r="J4" s="539">
        <v>1800</v>
      </c>
      <c r="K4" s="539"/>
    </row>
    <row r="5" spans="1:14" x14ac:dyDescent="0.35">
      <c r="A5" s="456" t="s">
        <v>22</v>
      </c>
      <c r="B5" s="184">
        <v>1496.3500000000001</v>
      </c>
      <c r="C5" s="185"/>
      <c r="D5" s="185"/>
      <c r="E5" s="370">
        <v>800</v>
      </c>
      <c r="F5" s="371"/>
      <c r="G5" s="424">
        <f>SUM('Compte 2024-25'!X4:AA4)</f>
        <v>1685.6000000000001</v>
      </c>
      <c r="H5" s="424"/>
      <c r="I5" s="142" t="s">
        <v>1572</v>
      </c>
      <c r="J5" s="539">
        <v>1200</v>
      </c>
      <c r="K5" s="539"/>
      <c r="L5" s="367" t="s">
        <v>1581</v>
      </c>
    </row>
    <row r="6" spans="1:14" x14ac:dyDescent="0.35">
      <c r="A6" s="456" t="s">
        <v>790</v>
      </c>
      <c r="B6" s="184">
        <v>182</v>
      </c>
      <c r="C6" s="185"/>
      <c r="D6" s="185"/>
      <c r="E6" s="370">
        <v>0</v>
      </c>
      <c r="F6" s="371"/>
      <c r="G6" s="424"/>
      <c r="H6" s="424"/>
      <c r="I6" s="142"/>
      <c r="J6" s="539"/>
      <c r="K6" s="539"/>
    </row>
    <row r="7" spans="1:14" x14ac:dyDescent="0.35">
      <c r="A7" s="142" t="s">
        <v>791</v>
      </c>
      <c r="B7" s="184">
        <v>520</v>
      </c>
      <c r="C7" s="185"/>
      <c r="D7" s="185"/>
      <c r="E7" s="370">
        <v>420</v>
      </c>
      <c r="F7" s="371"/>
      <c r="G7" s="424">
        <f>SUM('Compte 2024-25'!AG4)</f>
        <v>990</v>
      </c>
      <c r="H7" s="424"/>
      <c r="I7" s="142"/>
      <c r="J7" s="539">
        <v>800</v>
      </c>
      <c r="K7" s="539"/>
    </row>
    <row r="8" spans="1:14" x14ac:dyDescent="0.35">
      <c r="A8" s="456" t="s">
        <v>792</v>
      </c>
      <c r="B8" s="184"/>
      <c r="C8" s="185">
        <v>3600.3580000000002</v>
      </c>
      <c r="D8" s="185"/>
      <c r="E8" s="370"/>
      <c r="F8" s="371">
        <v>4000</v>
      </c>
      <c r="G8" s="424"/>
      <c r="H8" s="424">
        <f>-SUM('Compte 2024-25'!N4:P4)</f>
        <v>4083.9600000000005</v>
      </c>
      <c r="I8" s="142" t="s">
        <v>1573</v>
      </c>
      <c r="J8" s="539"/>
      <c r="K8" s="539">
        <v>4250</v>
      </c>
    </row>
    <row r="9" spans="1:14" s="1" customFormat="1" ht="28.8" x14ac:dyDescent="0.3">
      <c r="A9" s="526" t="s">
        <v>1574</v>
      </c>
      <c r="B9" s="527"/>
      <c r="C9" s="528">
        <v>295</v>
      </c>
      <c r="D9" s="528"/>
      <c r="E9" s="529"/>
      <c r="F9" s="530">
        <v>400</v>
      </c>
      <c r="G9" s="531"/>
      <c r="H9" s="531">
        <f>-'Compte 2024-25'!AN4</f>
        <v>352</v>
      </c>
      <c r="I9" s="532" t="s">
        <v>1584</v>
      </c>
      <c r="J9" s="540"/>
      <c r="K9" s="540">
        <v>500</v>
      </c>
      <c r="L9" s="542" t="s">
        <v>1589</v>
      </c>
      <c r="M9" s="535"/>
      <c r="N9" s="533"/>
    </row>
    <row r="10" spans="1:14" x14ac:dyDescent="0.35">
      <c r="A10" s="142" t="s">
        <v>1412</v>
      </c>
      <c r="B10" s="184"/>
      <c r="C10" s="185"/>
      <c r="D10" s="185"/>
      <c r="E10" s="370"/>
      <c r="F10" s="371"/>
      <c r="G10" s="424"/>
      <c r="H10" s="424">
        <f>-'Compte 2024-25'!AM4</f>
        <v>488.72</v>
      </c>
      <c r="I10" s="545" t="s">
        <v>1585</v>
      </c>
      <c r="J10" s="539"/>
      <c r="K10" s="539">
        <v>700</v>
      </c>
      <c r="L10" s="367" t="s">
        <v>1582</v>
      </c>
    </row>
    <row r="11" spans="1:14" x14ac:dyDescent="0.35">
      <c r="A11" s="142" t="s">
        <v>19</v>
      </c>
      <c r="B11" s="184"/>
      <c r="C11" s="185">
        <v>270</v>
      </c>
      <c r="D11" s="185"/>
      <c r="E11" s="370"/>
      <c r="F11" s="371">
        <v>300</v>
      </c>
      <c r="G11" s="424"/>
      <c r="H11" s="424">
        <f>-('Compte 2024-25'!W4+'Compte 2024-25'!V4)</f>
        <v>215</v>
      </c>
      <c r="I11" s="142" t="s">
        <v>1588</v>
      </c>
      <c r="J11" s="539"/>
      <c r="K11" s="539">
        <v>200</v>
      </c>
    </row>
    <row r="12" spans="1:14" x14ac:dyDescent="0.35">
      <c r="A12" s="456" t="s">
        <v>836</v>
      </c>
      <c r="B12" s="184"/>
      <c r="C12" s="185">
        <v>1020.14</v>
      </c>
      <c r="D12" s="185"/>
      <c r="E12" s="370"/>
      <c r="F12" s="371">
        <v>1500</v>
      </c>
      <c r="G12" s="424"/>
      <c r="H12" s="424">
        <f>-'Compte 2024-25'!AC4</f>
        <v>2030.66</v>
      </c>
      <c r="I12" s="142" t="s">
        <v>1578</v>
      </c>
      <c r="J12" s="539"/>
      <c r="K12" s="539">
        <v>1200</v>
      </c>
      <c r="L12" s="367" t="s">
        <v>1583</v>
      </c>
    </row>
    <row r="13" spans="1:14" x14ac:dyDescent="0.35">
      <c r="A13" s="456" t="s">
        <v>1568</v>
      </c>
      <c r="B13" s="184"/>
      <c r="C13" s="185">
        <v>221.66000000000003</v>
      </c>
      <c r="D13" s="185"/>
      <c r="E13" s="370"/>
      <c r="F13" s="371">
        <v>100</v>
      </c>
      <c r="G13" s="424"/>
      <c r="H13" s="424">
        <f>-('Compte 2024-25'!AB4+'Compte 2024-25'!AE4+'Compte 2024-25'!AF4)</f>
        <v>128.89999999999998</v>
      </c>
      <c r="I13" s="142"/>
      <c r="J13" s="539"/>
      <c r="K13" s="539">
        <v>150</v>
      </c>
    </row>
    <row r="14" spans="1:14" x14ac:dyDescent="0.35">
      <c r="A14" s="456" t="s">
        <v>1115</v>
      </c>
      <c r="B14" s="184"/>
      <c r="C14" s="185"/>
      <c r="D14" s="185"/>
      <c r="E14" s="370"/>
      <c r="F14" s="371">
        <v>250</v>
      </c>
      <c r="G14" s="424"/>
      <c r="H14" s="424">
        <f>-'Compte 2024-25'!AD4</f>
        <v>202.48999999999998</v>
      </c>
      <c r="I14" s="142" t="s">
        <v>1576</v>
      </c>
      <c r="J14" s="539"/>
      <c r="K14" s="539">
        <v>5200</v>
      </c>
      <c r="L14" s="367" t="s">
        <v>1592</v>
      </c>
    </row>
    <row r="15" spans="1:14" x14ac:dyDescent="0.35">
      <c r="A15" s="456" t="s">
        <v>793</v>
      </c>
      <c r="B15" s="184"/>
      <c r="C15" s="185">
        <v>81</v>
      </c>
      <c r="D15" s="185"/>
      <c r="E15" s="370"/>
      <c r="F15" s="371">
        <v>150</v>
      </c>
      <c r="G15" s="424"/>
      <c r="H15" s="424">
        <f>-'Compte 2024-25'!AH4</f>
        <v>34.130000000000003</v>
      </c>
      <c r="I15" s="142"/>
      <c r="J15" s="539"/>
      <c r="K15" s="539">
        <v>70</v>
      </c>
    </row>
    <row r="16" spans="1:14" x14ac:dyDescent="0.35">
      <c r="A16" s="142" t="s">
        <v>1567</v>
      </c>
      <c r="B16" s="184"/>
      <c r="C16" s="185"/>
      <c r="D16" s="185"/>
      <c r="E16" s="370"/>
      <c r="F16" s="371">
        <v>70</v>
      </c>
      <c r="G16" s="424"/>
      <c r="H16" s="424">
        <f>-('Compte 2024-25'!AJ4+'Compte 2024-25'!AI4)</f>
        <v>276.83999999999997</v>
      </c>
      <c r="I16" s="142" t="s">
        <v>1577</v>
      </c>
      <c r="J16" s="539"/>
      <c r="K16" s="539">
        <v>280</v>
      </c>
    </row>
    <row r="17" spans="1:14" x14ac:dyDescent="0.35">
      <c r="A17" s="142" t="s">
        <v>1438</v>
      </c>
      <c r="B17" s="184"/>
      <c r="C17" s="185"/>
      <c r="D17" s="185"/>
      <c r="E17" s="370"/>
      <c r="F17" s="371">
        <v>400</v>
      </c>
      <c r="G17" s="424"/>
      <c r="H17" s="424">
        <f>-'Compte 2024-25'!AK4</f>
        <v>174.42</v>
      </c>
      <c r="I17" s="142"/>
      <c r="J17" s="539"/>
      <c r="K17" s="539">
        <v>200</v>
      </c>
    </row>
    <row r="18" spans="1:14" x14ac:dyDescent="0.35">
      <c r="A18" s="142" t="s">
        <v>794</v>
      </c>
      <c r="B18" s="184"/>
      <c r="C18" s="185"/>
      <c r="D18" s="185"/>
      <c r="E18" s="370"/>
      <c r="F18" s="371">
        <v>400</v>
      </c>
      <c r="G18" s="424"/>
      <c r="H18" s="424">
        <f>-'Compte 2024-25'!AL4</f>
        <v>135</v>
      </c>
      <c r="I18" s="142" t="s">
        <v>1587</v>
      </c>
      <c r="J18" s="539"/>
      <c r="K18" s="539">
        <v>400</v>
      </c>
    </row>
    <row r="19" spans="1:14" x14ac:dyDescent="0.35">
      <c r="A19" s="142" t="s">
        <v>1551</v>
      </c>
      <c r="B19" s="419"/>
      <c r="C19" s="420"/>
      <c r="D19" s="420"/>
      <c r="E19" s="421"/>
      <c r="F19" s="422">
        <v>0</v>
      </c>
      <c r="G19" s="424"/>
      <c r="H19" s="424">
        <f>-'Compte 2024-25'!AO4</f>
        <v>770.11</v>
      </c>
      <c r="I19" s="142" t="s">
        <v>1575</v>
      </c>
      <c r="J19" s="539"/>
      <c r="K19" s="539">
        <v>1200</v>
      </c>
      <c r="L19" s="367" t="s">
        <v>1590</v>
      </c>
    </row>
    <row r="20" spans="1:14" x14ac:dyDescent="0.35">
      <c r="A20" s="186" t="s">
        <v>795</v>
      </c>
      <c r="B20" s="187">
        <f>SUM(B3:B15)</f>
        <v>7565.9500000000007</v>
      </c>
      <c r="C20" s="187">
        <f>SUM(C3:C15)</f>
        <v>5488.1580000000004</v>
      </c>
      <c r="D20" s="187"/>
      <c r="E20" s="372">
        <f>SUM(E3:E15)</f>
        <v>6820</v>
      </c>
      <c r="F20" s="372">
        <f>SUM(F3:F19)</f>
        <v>7570</v>
      </c>
      <c r="G20" s="373">
        <f>SUM(G3:G19)</f>
        <v>8711.6</v>
      </c>
      <c r="H20" s="373">
        <f>SUM(H3:H19)</f>
        <v>8892.2300000000014</v>
      </c>
      <c r="I20" s="142"/>
      <c r="J20" s="373">
        <f>SUM(J3:J19)</f>
        <v>8200</v>
      </c>
      <c r="K20" s="373">
        <f>SUM(K3:K19)</f>
        <v>14350</v>
      </c>
    </row>
    <row r="21" spans="1:14" x14ac:dyDescent="0.35">
      <c r="A21" s="188" t="s">
        <v>835</v>
      </c>
      <c r="B21" s="189"/>
      <c r="C21" s="190">
        <f>B20-C20</f>
        <v>2077.7920000000004</v>
      </c>
      <c r="D21" s="190"/>
      <c r="E21" s="374">
        <f>F20-E20</f>
        <v>750</v>
      </c>
      <c r="F21" s="375"/>
      <c r="G21" s="446">
        <f>(H20-G20)</f>
        <v>180.63000000000102</v>
      </c>
      <c r="H21" s="446"/>
      <c r="I21" s="524"/>
      <c r="J21" s="446">
        <f>(K20-J20)</f>
        <v>6150</v>
      </c>
      <c r="K21" s="446"/>
      <c r="L21" s="543"/>
      <c r="M21" s="536"/>
    </row>
    <row r="22" spans="1:14" s="454" customFormat="1" x14ac:dyDescent="0.35">
      <c r="A22" s="452" t="s">
        <v>1480</v>
      </c>
      <c r="B22" s="459"/>
      <c r="C22" s="459"/>
      <c r="E22" s="519">
        <f>G22</f>
        <v>4386.58</v>
      </c>
      <c r="F22" s="459"/>
      <c r="G22" s="452">
        <f>'Compte 2024-25'!K4</f>
        <v>4386.58</v>
      </c>
      <c r="H22" s="453"/>
      <c r="I22" s="524"/>
      <c r="J22" s="452">
        <f>G24</f>
        <v>2205.9499999999998</v>
      </c>
      <c r="K22" s="453"/>
      <c r="L22" s="543"/>
      <c r="M22" s="536"/>
      <c r="N22" s="454" t="s">
        <v>1486</v>
      </c>
    </row>
    <row r="23" spans="1:14" s="454" customFormat="1" x14ac:dyDescent="0.35">
      <c r="A23" s="452" t="s">
        <v>1481</v>
      </c>
      <c r="B23" s="459"/>
      <c r="C23" s="459"/>
      <c r="D23" s="459"/>
      <c r="E23" s="460"/>
      <c r="F23" s="459"/>
      <c r="G23" s="452"/>
      <c r="H23" s="455">
        <f>'Compte 2024-25'!M4</f>
        <v>-2000</v>
      </c>
      <c r="I23" s="525"/>
      <c r="J23" s="452"/>
      <c r="K23" s="455"/>
      <c r="L23" s="544"/>
      <c r="M23" s="537"/>
      <c r="N23" s="454" t="s">
        <v>1490</v>
      </c>
    </row>
    <row r="24" spans="1:14" s="454" customFormat="1" x14ac:dyDescent="0.35">
      <c r="A24" s="457" t="s">
        <v>1569</v>
      </c>
      <c r="B24" s="457"/>
      <c r="C24" s="457"/>
      <c r="D24" s="521">
        <f>E22</f>
        <v>4386.58</v>
      </c>
      <c r="E24" s="458">
        <f>E22-E21</f>
        <v>3636.58</v>
      </c>
      <c r="F24" s="457"/>
      <c r="G24" s="457">
        <f>'Compte 2024-25'!G4</f>
        <v>2205.9499999999998</v>
      </c>
      <c r="H24" s="457"/>
      <c r="I24" s="142"/>
      <c r="J24" s="457">
        <f>J22-J21</f>
        <v>-3944.05</v>
      </c>
      <c r="K24" s="457"/>
      <c r="L24" s="367"/>
      <c r="M24"/>
      <c r="N24" s="454" t="s">
        <v>1487</v>
      </c>
    </row>
    <row r="25" spans="1:14" s="454" customFormat="1" x14ac:dyDescent="0.35">
      <c r="A25" s="457" t="s">
        <v>1571</v>
      </c>
      <c r="B25" s="457"/>
      <c r="C25" s="457"/>
      <c r="D25" s="457">
        <f>E25</f>
        <v>6946.35</v>
      </c>
      <c r="E25" s="457">
        <v>6946.35</v>
      </c>
      <c r="F25" s="457"/>
      <c r="G25" s="457">
        <v>9114.74</v>
      </c>
      <c r="H25" s="457"/>
      <c r="I25" s="142"/>
      <c r="J25" s="457">
        <v>9114.74</v>
      </c>
      <c r="K25" s="457"/>
      <c r="L25" s="367"/>
      <c r="M25"/>
      <c r="N25" s="454" t="s">
        <v>1488</v>
      </c>
    </row>
    <row r="26" spans="1:14" s="454" customFormat="1" x14ac:dyDescent="0.35">
      <c r="A26" s="452" t="s">
        <v>1467</v>
      </c>
      <c r="B26" s="452"/>
      <c r="C26" s="452"/>
      <c r="D26" s="520">
        <f>SUM(D24:D25)</f>
        <v>11332.93</v>
      </c>
      <c r="E26" s="459">
        <f>E24+E25</f>
        <v>10582.93</v>
      </c>
      <c r="F26" s="452"/>
      <c r="G26" s="452">
        <f>SUM(G24:G25)</f>
        <v>11320.689999999999</v>
      </c>
      <c r="H26" s="452"/>
      <c r="I26" s="142"/>
      <c r="J26" s="452">
        <f>SUM(J24:J25)</f>
        <v>5170.6899999999996</v>
      </c>
      <c r="K26" s="452"/>
      <c r="L26" s="367"/>
      <c r="M26"/>
      <c r="N26" s="454" t="s">
        <v>1489</v>
      </c>
    </row>
    <row r="27" spans="1:14" s="454" customFormat="1" x14ac:dyDescent="0.35">
      <c r="I27"/>
      <c r="J27"/>
      <c r="K27"/>
      <c r="L27" s="367"/>
      <c r="M27"/>
    </row>
  </sheetData>
  <mergeCells count="3">
    <mergeCell ref="E1:F1"/>
    <mergeCell ref="G1:H1"/>
    <mergeCell ref="J1:K1"/>
  </mergeCells>
  <phoneticPr fontId="1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623C-85A2-4A49-81C5-1F835074A16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502AA-4D8A-4B8E-AFFE-F8ABBA04A63E}">
  <dimension ref="A1:AH51"/>
  <sheetViews>
    <sheetView showGridLines="0" zoomScale="85" zoomScaleNormal="85" workbookViewId="0">
      <selection activeCell="D22" sqref="D22"/>
    </sheetView>
  </sheetViews>
  <sheetFormatPr baseColWidth="10" defaultRowHeight="14.4" x14ac:dyDescent="0.3"/>
  <cols>
    <col min="1" max="1" width="47.21875" bestFit="1" customWidth="1"/>
    <col min="2" max="2" width="16.21875" customWidth="1"/>
    <col min="3" max="3" width="20.77734375" customWidth="1"/>
    <col min="4" max="4" width="18.5546875" customWidth="1"/>
    <col min="5" max="5" width="44" bestFit="1" customWidth="1"/>
    <col min="8" max="8" width="2.6640625" customWidth="1"/>
    <col min="9" max="9" width="44.6640625" customWidth="1"/>
    <col min="10" max="10" width="11.5546875" style="2"/>
    <col min="11" max="11" width="3.21875" customWidth="1"/>
    <col min="12" max="12" width="4.109375" customWidth="1"/>
    <col min="13" max="13" width="33" bestFit="1" customWidth="1"/>
    <col min="14" max="14" width="13" style="136" customWidth="1"/>
    <col min="15" max="17" width="11.5546875" customWidth="1"/>
    <col min="20" max="20" width="11.5546875" style="136"/>
    <col min="21" max="21" width="3.44140625" customWidth="1"/>
    <col min="22" max="22" width="18.109375" customWidth="1"/>
    <col min="23" max="25" width="13.44140625" style="136" customWidth="1"/>
    <col min="26" max="28" width="11.5546875" style="136"/>
    <col min="30" max="30" width="5.77734375" customWidth="1"/>
    <col min="31" max="31" width="33.109375" customWidth="1"/>
  </cols>
  <sheetData>
    <row r="1" spans="1:34" ht="28.8" customHeight="1" thickTop="1" x14ac:dyDescent="0.3">
      <c r="A1" s="573" t="s">
        <v>1074</v>
      </c>
      <c r="B1" s="574"/>
      <c r="C1" s="575"/>
      <c r="E1" s="284" t="s">
        <v>1075</v>
      </c>
      <c r="F1" s="285" t="s">
        <v>2</v>
      </c>
      <c r="G1" s="286" t="s">
        <v>982</v>
      </c>
      <c r="L1" s="578" t="s">
        <v>1028</v>
      </c>
      <c r="M1" s="579"/>
      <c r="N1" s="579"/>
      <c r="O1" s="579"/>
      <c r="P1" s="579"/>
      <c r="Q1" s="254" t="s">
        <v>989</v>
      </c>
      <c r="R1" s="251" t="s">
        <v>1125</v>
      </c>
      <c r="S1" s="155" t="s">
        <v>990</v>
      </c>
      <c r="T1" s="155" t="s">
        <v>992</v>
      </c>
      <c r="V1" s="591" t="s">
        <v>1133</v>
      </c>
      <c r="W1" s="591"/>
      <c r="X1" s="591"/>
      <c r="Y1" s="591"/>
      <c r="Z1" s="591"/>
      <c r="AA1" s="591"/>
      <c r="AB1" s="591"/>
      <c r="AC1" s="591"/>
      <c r="AE1" s="360" t="s">
        <v>1126</v>
      </c>
      <c r="AF1" s="361" t="s">
        <v>1125</v>
      </c>
      <c r="AG1" s="362" t="s">
        <v>990</v>
      </c>
      <c r="AH1" s="362" t="s">
        <v>992</v>
      </c>
    </row>
    <row r="2" spans="1:34" ht="31.2" x14ac:dyDescent="0.3">
      <c r="A2" s="287"/>
      <c r="B2" s="288" t="s">
        <v>2</v>
      </c>
      <c r="C2" s="289" t="s">
        <v>1059</v>
      </c>
      <c r="E2" s="290" t="s">
        <v>949</v>
      </c>
      <c r="F2" s="142">
        <v>260</v>
      </c>
      <c r="G2" s="291"/>
      <c r="L2" s="255" t="s">
        <v>957</v>
      </c>
      <c r="M2" s="186" t="s">
        <v>956</v>
      </c>
      <c r="N2" s="246">
        <v>2</v>
      </c>
      <c r="O2" s="186">
        <v>5.16</v>
      </c>
      <c r="P2" s="186">
        <f t="shared" ref="P2:P33" si="0">N2*O2</f>
        <v>10.32</v>
      </c>
      <c r="Q2" s="256"/>
      <c r="R2" s="252">
        <v>2</v>
      </c>
      <c r="S2" s="246">
        <v>0</v>
      </c>
      <c r="T2" s="246">
        <f>R2-S2</f>
        <v>2</v>
      </c>
      <c r="V2" s="352"/>
      <c r="W2" s="144" t="s">
        <v>1101</v>
      </c>
      <c r="X2" s="144" t="s">
        <v>1089</v>
      </c>
      <c r="Y2" s="353" t="s">
        <v>1123</v>
      </c>
      <c r="Z2" s="144" t="s">
        <v>1090</v>
      </c>
      <c r="AA2" s="144" t="s">
        <v>1091</v>
      </c>
      <c r="AB2" s="144" t="s">
        <v>990</v>
      </c>
      <c r="AC2" s="368" t="s">
        <v>1108</v>
      </c>
      <c r="AE2" s="142" t="s">
        <v>956</v>
      </c>
      <c r="AF2" s="251">
        <v>2</v>
      </c>
      <c r="AG2" s="155">
        <v>0</v>
      </c>
      <c r="AH2" s="155">
        <f>AF2-AG2</f>
        <v>2</v>
      </c>
    </row>
    <row r="3" spans="1:34" ht="16.5" customHeight="1" x14ac:dyDescent="0.3">
      <c r="A3" s="292" t="s">
        <v>1045</v>
      </c>
      <c r="B3" s="293">
        <f>F15</f>
        <v>1624.6</v>
      </c>
      <c r="C3" s="294"/>
      <c r="E3" s="290" t="s">
        <v>948</v>
      </c>
      <c r="F3" s="142">
        <v>76</v>
      </c>
      <c r="G3" s="291"/>
      <c r="L3" s="255" t="s">
        <v>957</v>
      </c>
      <c r="M3" s="186" t="s">
        <v>962</v>
      </c>
      <c r="N3" s="246">
        <v>1</v>
      </c>
      <c r="O3" s="186">
        <v>1.6</v>
      </c>
      <c r="P3" s="186">
        <f t="shared" si="0"/>
        <v>1.6</v>
      </c>
      <c r="Q3" s="257"/>
      <c r="R3" s="252">
        <v>1</v>
      </c>
      <c r="S3" s="246" t="s">
        <v>687</v>
      </c>
      <c r="T3" s="246" t="s">
        <v>687</v>
      </c>
      <c r="V3" s="142" t="s">
        <v>1094</v>
      </c>
      <c r="W3" s="142"/>
      <c r="X3" s="155">
        <v>20</v>
      </c>
      <c r="Y3" s="155"/>
      <c r="Z3" s="155"/>
      <c r="AA3" s="155">
        <f>SUM(X3:Z3)</f>
        <v>20</v>
      </c>
      <c r="AB3" s="247">
        <v>17</v>
      </c>
      <c r="AC3" s="146">
        <v>20</v>
      </c>
      <c r="AE3" s="142" t="s">
        <v>962</v>
      </c>
      <c r="AF3" s="251">
        <v>1</v>
      </c>
      <c r="AG3" s="363" t="s">
        <v>687</v>
      </c>
      <c r="AH3" s="363" t="s">
        <v>687</v>
      </c>
    </row>
    <row r="4" spans="1:34" ht="16.5" customHeight="1" thickBot="1" x14ac:dyDescent="0.35">
      <c r="A4" s="292" t="s">
        <v>1047</v>
      </c>
      <c r="B4" s="293">
        <v>322.05</v>
      </c>
      <c r="C4" s="294"/>
      <c r="D4" t="s">
        <v>1122</v>
      </c>
      <c r="E4" s="290" t="s">
        <v>1076</v>
      </c>
      <c r="F4" s="142">
        <v>10</v>
      </c>
      <c r="G4" s="291"/>
      <c r="L4" s="255" t="s">
        <v>957</v>
      </c>
      <c r="M4" s="186" t="s">
        <v>963</v>
      </c>
      <c r="N4" s="246">
        <v>1</v>
      </c>
      <c r="O4" s="186">
        <v>0.83</v>
      </c>
      <c r="P4" s="186">
        <f t="shared" si="0"/>
        <v>0.83</v>
      </c>
      <c r="Q4" s="257"/>
      <c r="R4" s="252">
        <v>1</v>
      </c>
      <c r="S4" s="246" t="s">
        <v>687</v>
      </c>
      <c r="T4" s="246" t="s">
        <v>687</v>
      </c>
      <c r="V4" s="142" t="s">
        <v>1095</v>
      </c>
      <c r="W4" s="142"/>
      <c r="X4" s="155"/>
      <c r="Y4" s="155"/>
      <c r="Z4" s="155"/>
      <c r="AA4" s="155">
        <v>0</v>
      </c>
      <c r="AB4" s="247">
        <v>4</v>
      </c>
      <c r="AC4" s="146">
        <v>4</v>
      </c>
      <c r="AE4" s="142" t="s">
        <v>963</v>
      </c>
      <c r="AF4" s="251">
        <v>1</v>
      </c>
      <c r="AG4" s="363" t="s">
        <v>687</v>
      </c>
      <c r="AH4" s="363" t="s">
        <v>687</v>
      </c>
    </row>
    <row r="5" spans="1:34" ht="16.5" customHeight="1" thickTop="1" x14ac:dyDescent="0.3">
      <c r="A5" s="292" t="s">
        <v>1041</v>
      </c>
      <c r="B5" s="293"/>
      <c r="C5" s="294">
        <v>13.8</v>
      </c>
      <c r="E5" s="290" t="s">
        <v>997</v>
      </c>
      <c r="F5" s="142">
        <f>10*50</f>
        <v>500</v>
      </c>
      <c r="G5" s="291"/>
      <c r="I5" s="576" t="s">
        <v>901</v>
      </c>
      <c r="J5" s="577"/>
      <c r="L5" s="332" t="s">
        <v>957</v>
      </c>
      <c r="M5" s="186" t="s">
        <v>964</v>
      </c>
      <c r="N5" s="246">
        <v>2</v>
      </c>
      <c r="O5" s="186">
        <v>6.06</v>
      </c>
      <c r="P5" s="186">
        <f t="shared" si="0"/>
        <v>12.12</v>
      </c>
      <c r="Q5" s="257"/>
      <c r="R5" s="252">
        <v>4</v>
      </c>
      <c r="S5" s="246">
        <v>2</v>
      </c>
      <c r="T5" s="246">
        <f t="shared" ref="T5:T33" si="1">R5-S5</f>
        <v>2</v>
      </c>
      <c r="V5" s="142" t="s">
        <v>1093</v>
      </c>
      <c r="W5" s="142"/>
      <c r="X5" s="155"/>
      <c r="Y5" s="155"/>
      <c r="Z5" s="155">
        <v>40</v>
      </c>
      <c r="AA5" s="155">
        <f t="shared" ref="AA5:AA11" si="2">SUM(X5:Z5)</f>
        <v>40</v>
      </c>
      <c r="AB5" s="247">
        <f>15+41</f>
        <v>56</v>
      </c>
      <c r="AC5" s="146">
        <f>AB5+AB18</f>
        <v>85</v>
      </c>
      <c r="AE5" s="142" t="s">
        <v>964</v>
      </c>
      <c r="AF5" s="251">
        <v>4</v>
      </c>
      <c r="AG5" s="155">
        <v>2</v>
      </c>
      <c r="AH5" s="155">
        <f t="shared" ref="AH5" si="3">AF5-AG5</f>
        <v>2</v>
      </c>
    </row>
    <row r="6" spans="1:34" ht="16.5" customHeight="1" x14ac:dyDescent="0.3">
      <c r="A6" s="292" t="s">
        <v>1077</v>
      </c>
      <c r="B6" s="293"/>
      <c r="C6" s="294">
        <f>B33</f>
        <v>217.57999999999998</v>
      </c>
      <c r="E6" s="290" t="s">
        <v>998</v>
      </c>
      <c r="F6" s="142">
        <f>23*20</f>
        <v>460</v>
      </c>
      <c r="G6" s="291"/>
      <c r="I6" s="580" t="s">
        <v>902</v>
      </c>
      <c r="J6" s="581"/>
      <c r="L6" s="255" t="s">
        <v>957</v>
      </c>
      <c r="M6" s="186" t="s">
        <v>965</v>
      </c>
      <c r="N6" s="246">
        <v>2</v>
      </c>
      <c r="O6" s="186">
        <v>2.29</v>
      </c>
      <c r="P6" s="186">
        <f t="shared" si="0"/>
        <v>4.58</v>
      </c>
      <c r="Q6" s="257"/>
      <c r="R6" s="252">
        <v>2</v>
      </c>
      <c r="S6" s="246" t="s">
        <v>687</v>
      </c>
      <c r="T6" s="246" t="s">
        <v>687</v>
      </c>
      <c r="V6" s="142" t="s">
        <v>1100</v>
      </c>
      <c r="W6" s="142"/>
      <c r="X6" s="155"/>
      <c r="Y6" s="155"/>
      <c r="Z6" s="155"/>
      <c r="AA6" s="155">
        <v>0</v>
      </c>
      <c r="AB6" s="247">
        <v>3</v>
      </c>
      <c r="AC6" s="146">
        <v>3</v>
      </c>
      <c r="AE6" s="142" t="s">
        <v>965</v>
      </c>
      <c r="AF6" s="251">
        <v>2</v>
      </c>
      <c r="AG6" s="363" t="s">
        <v>687</v>
      </c>
      <c r="AH6" s="363" t="s">
        <v>687</v>
      </c>
    </row>
    <row r="7" spans="1:34" ht="16.5" customHeight="1" x14ac:dyDescent="0.3">
      <c r="A7" s="292" t="s">
        <v>1042</v>
      </c>
      <c r="B7" s="293"/>
      <c r="C7" s="294">
        <v>29.8</v>
      </c>
      <c r="E7" s="290" t="s">
        <v>993</v>
      </c>
      <c r="F7" s="142">
        <f>40*10</f>
        <v>400</v>
      </c>
      <c r="G7" s="291"/>
      <c r="I7" s="277" t="s">
        <v>903</v>
      </c>
      <c r="J7" s="278">
        <v>8</v>
      </c>
      <c r="L7" s="332" t="s">
        <v>957</v>
      </c>
      <c r="M7" s="186" t="s">
        <v>966</v>
      </c>
      <c r="N7" s="246">
        <v>2</v>
      </c>
      <c r="O7" s="186">
        <v>2.4300000000000002</v>
      </c>
      <c r="P7" s="186">
        <f t="shared" si="0"/>
        <v>4.8600000000000003</v>
      </c>
      <c r="Q7" s="257"/>
      <c r="R7" s="252">
        <v>2</v>
      </c>
      <c r="S7" s="246">
        <v>1</v>
      </c>
      <c r="T7" s="246">
        <f t="shared" si="1"/>
        <v>1</v>
      </c>
      <c r="V7" s="142" t="s">
        <v>1088</v>
      </c>
      <c r="W7" s="142"/>
      <c r="X7" s="155">
        <v>10</v>
      </c>
      <c r="Y7" s="155"/>
      <c r="Z7" s="155"/>
      <c r="AA7" s="155">
        <f t="shared" si="2"/>
        <v>10</v>
      </c>
      <c r="AB7" s="247">
        <v>14</v>
      </c>
      <c r="AC7" s="369">
        <f>AB7+AB19</f>
        <v>16</v>
      </c>
      <c r="AE7" s="142" t="s">
        <v>966</v>
      </c>
      <c r="AF7" s="251">
        <v>2</v>
      </c>
      <c r="AG7" s="155">
        <v>1</v>
      </c>
      <c r="AH7" s="155">
        <f t="shared" ref="AH7" si="4">AF7-AG7</f>
        <v>1</v>
      </c>
    </row>
    <row r="8" spans="1:34" ht="16.5" customHeight="1" x14ac:dyDescent="0.3">
      <c r="A8" s="292" t="s">
        <v>1043</v>
      </c>
      <c r="B8" s="293"/>
      <c r="C8" s="294">
        <f>76-36+103.5</f>
        <v>143.5</v>
      </c>
      <c r="E8" s="290" t="s">
        <v>999</v>
      </c>
      <c r="F8" s="142">
        <f>5*5</f>
        <v>25</v>
      </c>
      <c r="G8" s="291"/>
      <c r="I8" s="277" t="s">
        <v>905</v>
      </c>
      <c r="J8" s="278">
        <v>8</v>
      </c>
      <c r="L8" s="255" t="s">
        <v>957</v>
      </c>
      <c r="M8" s="186" t="s">
        <v>967</v>
      </c>
      <c r="N8" s="246">
        <v>1</v>
      </c>
      <c r="O8" s="186">
        <v>2.75</v>
      </c>
      <c r="P8" s="186">
        <f t="shared" si="0"/>
        <v>2.75</v>
      </c>
      <c r="Q8" s="257"/>
      <c r="R8" s="252">
        <v>30</v>
      </c>
      <c r="S8" s="246" t="s">
        <v>687</v>
      </c>
      <c r="T8" s="246" t="s">
        <v>687</v>
      </c>
      <c r="V8" s="142" t="s">
        <v>1092</v>
      </c>
      <c r="W8" s="142"/>
      <c r="X8" s="155">
        <v>50</v>
      </c>
      <c r="Y8" s="155"/>
      <c r="Z8" s="155"/>
      <c r="AA8" s="155">
        <f t="shared" si="2"/>
        <v>50</v>
      </c>
      <c r="AB8" s="247">
        <v>36</v>
      </c>
      <c r="AC8" s="369">
        <f>AB8+AB20</f>
        <v>137.19999999999999</v>
      </c>
      <c r="AE8" s="142" t="s">
        <v>967</v>
      </c>
      <c r="AF8" s="251">
        <v>30</v>
      </c>
      <c r="AG8" s="363" t="s">
        <v>687</v>
      </c>
      <c r="AH8" s="363" t="s">
        <v>687</v>
      </c>
    </row>
    <row r="9" spans="1:34" ht="16.5" customHeight="1" x14ac:dyDescent="0.3">
      <c r="A9" s="292" t="s">
        <v>1044</v>
      </c>
      <c r="B9" s="293"/>
      <c r="C9" s="294">
        <v>105.5</v>
      </c>
      <c r="E9" s="290" t="s">
        <v>1000</v>
      </c>
      <c r="F9" s="142">
        <f>30*2</f>
        <v>60</v>
      </c>
      <c r="G9" s="291"/>
      <c r="I9" s="277" t="s">
        <v>904</v>
      </c>
      <c r="J9" s="278">
        <v>8</v>
      </c>
      <c r="L9" s="332" t="s">
        <v>957</v>
      </c>
      <c r="M9" s="186" t="s">
        <v>970</v>
      </c>
      <c r="N9" s="246">
        <v>1</v>
      </c>
      <c r="O9" s="186">
        <v>11.53</v>
      </c>
      <c r="P9" s="186">
        <f t="shared" si="0"/>
        <v>11.53</v>
      </c>
      <c r="Q9" s="257"/>
      <c r="R9" s="252">
        <v>24</v>
      </c>
      <c r="S9" s="246">
        <v>9</v>
      </c>
      <c r="T9" s="246">
        <f t="shared" si="1"/>
        <v>15</v>
      </c>
      <c r="V9" s="142" t="s">
        <v>1099</v>
      </c>
      <c r="W9" s="142"/>
      <c r="X9" s="155"/>
      <c r="Y9" s="155"/>
      <c r="Z9" s="155"/>
      <c r="AA9" s="155">
        <v>0</v>
      </c>
      <c r="AB9" s="247">
        <v>16</v>
      </c>
      <c r="AC9" s="146">
        <v>16</v>
      </c>
      <c r="AE9" s="142" t="s">
        <v>1127</v>
      </c>
      <c r="AF9" s="251">
        <v>24</v>
      </c>
      <c r="AG9" s="155">
        <v>9</v>
      </c>
      <c r="AH9" s="155">
        <f t="shared" ref="AH9:AH15" si="5">AF9-AG9</f>
        <v>15</v>
      </c>
    </row>
    <row r="10" spans="1:34" ht="16.5" customHeight="1" x14ac:dyDescent="0.3">
      <c r="A10" s="292" t="s">
        <v>1046</v>
      </c>
      <c r="B10" s="293"/>
      <c r="C10" s="294">
        <v>100.05</v>
      </c>
      <c r="E10" s="290" t="s">
        <v>1005</v>
      </c>
      <c r="F10" s="142">
        <f>4*0.5</f>
        <v>2</v>
      </c>
      <c r="G10" s="291"/>
      <c r="I10" s="277" t="s">
        <v>906</v>
      </c>
      <c r="J10" s="278">
        <v>8</v>
      </c>
      <c r="L10" s="332" t="s">
        <v>957</v>
      </c>
      <c r="M10" s="186" t="s">
        <v>969</v>
      </c>
      <c r="N10" s="246">
        <f>4-3</f>
        <v>1</v>
      </c>
      <c r="O10" s="186">
        <v>7.48</v>
      </c>
      <c r="P10" s="186">
        <f t="shared" si="0"/>
        <v>7.48</v>
      </c>
      <c r="Q10" s="257"/>
      <c r="R10" s="252">
        <v>12</v>
      </c>
      <c r="S10" s="246">
        <v>9</v>
      </c>
      <c r="T10" s="246">
        <f t="shared" si="1"/>
        <v>3</v>
      </c>
      <c r="V10" s="142" t="s">
        <v>1098</v>
      </c>
      <c r="W10" s="142"/>
      <c r="X10" s="155"/>
      <c r="Y10" s="155"/>
      <c r="Z10" s="155">
        <v>30</v>
      </c>
      <c r="AA10" s="155">
        <f t="shared" si="2"/>
        <v>30</v>
      </c>
      <c r="AB10" s="247">
        <v>47</v>
      </c>
      <c r="AC10" s="369">
        <f>AB10+AB21</f>
        <v>95</v>
      </c>
      <c r="AE10" s="142" t="s">
        <v>1128</v>
      </c>
      <c r="AF10" s="251">
        <v>12</v>
      </c>
      <c r="AG10" s="155">
        <v>9</v>
      </c>
      <c r="AH10" s="155">
        <f t="shared" si="5"/>
        <v>3</v>
      </c>
    </row>
    <row r="11" spans="1:34" ht="16.5" customHeight="1" x14ac:dyDescent="0.3">
      <c r="A11" s="292" t="s">
        <v>1078</v>
      </c>
      <c r="B11" s="293"/>
      <c r="C11" s="294">
        <v>147.22999999999999</v>
      </c>
      <c r="E11" s="290" t="s">
        <v>1001</v>
      </c>
      <c r="F11" s="142">
        <f>(2*25)+3</f>
        <v>53</v>
      </c>
      <c r="G11" s="291"/>
      <c r="I11" s="277" t="s">
        <v>907</v>
      </c>
      <c r="J11" s="278">
        <v>8</v>
      </c>
      <c r="L11" s="332" t="s">
        <v>957</v>
      </c>
      <c r="M11" s="186" t="s">
        <v>972</v>
      </c>
      <c r="N11" s="246">
        <f>4-2</f>
        <v>2</v>
      </c>
      <c r="O11" s="186">
        <v>5.38</v>
      </c>
      <c r="P11" s="186">
        <f t="shared" si="0"/>
        <v>10.76</v>
      </c>
      <c r="Q11" s="257"/>
      <c r="R11" s="252">
        <v>20</v>
      </c>
      <c r="S11" s="246">
        <v>11</v>
      </c>
      <c r="T11" s="246">
        <f t="shared" si="1"/>
        <v>9</v>
      </c>
      <c r="V11" s="142" t="s">
        <v>1096</v>
      </c>
      <c r="W11" s="142"/>
      <c r="X11" s="155">
        <v>40</v>
      </c>
      <c r="Y11" s="155">
        <v>-80</v>
      </c>
      <c r="Z11" s="155">
        <v>120</v>
      </c>
      <c r="AA11" s="155">
        <f t="shared" si="2"/>
        <v>80</v>
      </c>
      <c r="AB11" s="247">
        <v>70</v>
      </c>
      <c r="AC11" s="369">
        <f>AB11+AB22</f>
        <v>162.5</v>
      </c>
      <c r="AE11" s="142" t="s">
        <v>1129</v>
      </c>
      <c r="AF11" s="251">
        <v>20</v>
      </c>
      <c r="AG11" s="155">
        <v>11</v>
      </c>
      <c r="AH11" s="155">
        <f t="shared" si="5"/>
        <v>9</v>
      </c>
    </row>
    <row r="12" spans="1:34" ht="16.5" customHeight="1" x14ac:dyDescent="0.3">
      <c r="A12" s="292" t="s">
        <v>1079</v>
      </c>
      <c r="B12" s="293"/>
      <c r="C12" s="294">
        <v>23.99</v>
      </c>
      <c r="E12" s="290" t="s">
        <v>983</v>
      </c>
      <c r="F12" s="142"/>
      <c r="G12" s="291">
        <v>220</v>
      </c>
      <c r="I12" s="277" t="s">
        <v>908</v>
      </c>
      <c r="J12" s="278">
        <v>8</v>
      </c>
      <c r="L12" s="332" t="s">
        <v>957</v>
      </c>
      <c r="M12" s="186" t="s">
        <v>975</v>
      </c>
      <c r="N12" s="246">
        <f>4-2</f>
        <v>2</v>
      </c>
      <c r="O12" s="186">
        <v>7.4</v>
      </c>
      <c r="P12" s="186">
        <f t="shared" si="0"/>
        <v>14.8</v>
      </c>
      <c r="Q12" s="257"/>
      <c r="R12" s="252">
        <v>24</v>
      </c>
      <c r="S12" s="246">
        <v>0</v>
      </c>
      <c r="T12" s="246">
        <f t="shared" si="1"/>
        <v>24</v>
      </c>
      <c r="V12" s="142" t="s">
        <v>1097</v>
      </c>
      <c r="W12" s="142"/>
      <c r="X12" s="155"/>
      <c r="Y12" s="155"/>
      <c r="Z12" s="155"/>
      <c r="AA12" s="155">
        <v>0</v>
      </c>
      <c r="AB12" s="247">
        <v>47</v>
      </c>
      <c r="AC12" s="146">
        <v>47</v>
      </c>
      <c r="AE12" s="142" t="s">
        <v>975</v>
      </c>
      <c r="AF12" s="251">
        <v>24</v>
      </c>
      <c r="AG12" s="155">
        <v>0</v>
      </c>
      <c r="AH12" s="155">
        <f t="shared" si="5"/>
        <v>24</v>
      </c>
    </row>
    <row r="13" spans="1:34" ht="16.5" customHeight="1" x14ac:dyDescent="0.3">
      <c r="A13" s="292" t="s">
        <v>1058</v>
      </c>
      <c r="B13" s="293"/>
      <c r="C13" s="294">
        <v>8.11</v>
      </c>
      <c r="E13" s="295" t="s">
        <v>1021</v>
      </c>
      <c r="F13" s="155"/>
      <c r="G13" s="296">
        <v>1.4</v>
      </c>
      <c r="I13" s="277" t="s">
        <v>909</v>
      </c>
      <c r="J13" s="278">
        <v>8</v>
      </c>
      <c r="L13" s="332" t="s">
        <v>957</v>
      </c>
      <c r="M13" s="186" t="s">
        <v>976</v>
      </c>
      <c r="N13" s="246">
        <v>5</v>
      </c>
      <c r="O13" s="186">
        <v>10.69</v>
      </c>
      <c r="P13" s="186">
        <f t="shared" si="0"/>
        <v>53.449999999999996</v>
      </c>
      <c r="Q13" s="257"/>
      <c r="R13" s="252">
        <v>100</v>
      </c>
      <c r="S13" s="246">
        <v>35</v>
      </c>
      <c r="T13" s="246">
        <f t="shared" si="1"/>
        <v>65</v>
      </c>
      <c r="AE13" s="142" t="s">
        <v>976</v>
      </c>
      <c r="AF13" s="251">
        <v>100</v>
      </c>
      <c r="AG13" s="155">
        <v>35</v>
      </c>
      <c r="AH13" s="155">
        <f t="shared" si="5"/>
        <v>65</v>
      </c>
    </row>
    <row r="14" spans="1:34" ht="16.5" customHeight="1" x14ac:dyDescent="0.3">
      <c r="A14" s="287" t="s">
        <v>1080</v>
      </c>
      <c r="B14" s="288">
        <f>SUM(B3:B13)</f>
        <v>1946.6499999999999</v>
      </c>
      <c r="C14" s="297">
        <f>SUM(C3:C13)</f>
        <v>789.56000000000006</v>
      </c>
      <c r="E14" s="298"/>
      <c r="F14" s="182">
        <f>SUM(F2:F13)</f>
        <v>1846</v>
      </c>
      <c r="G14" s="299">
        <f>SUM(G2:G13)</f>
        <v>221.4</v>
      </c>
      <c r="I14" s="277" t="s">
        <v>910</v>
      </c>
      <c r="J14" s="278">
        <v>10</v>
      </c>
      <c r="L14" s="332" t="s">
        <v>957</v>
      </c>
      <c r="M14" s="186" t="s">
        <v>977</v>
      </c>
      <c r="N14" s="246">
        <v>1</v>
      </c>
      <c r="O14" s="186">
        <v>1.82</v>
      </c>
      <c r="P14" s="186">
        <f t="shared" si="0"/>
        <v>1.82</v>
      </c>
      <c r="Q14" s="257"/>
      <c r="R14" s="252">
        <v>1</v>
      </c>
      <c r="S14" s="246">
        <v>0</v>
      </c>
      <c r="T14" s="246">
        <f t="shared" si="1"/>
        <v>1</v>
      </c>
      <c r="V14" s="367" t="s">
        <v>1132</v>
      </c>
      <c r="AE14" s="142" t="s">
        <v>977</v>
      </c>
      <c r="AF14" s="251">
        <v>2</v>
      </c>
      <c r="AG14" s="155">
        <v>0</v>
      </c>
      <c r="AH14" s="155">
        <f t="shared" si="5"/>
        <v>2</v>
      </c>
    </row>
    <row r="15" spans="1:34" ht="16.5" customHeight="1" thickBot="1" x14ac:dyDescent="0.35">
      <c r="A15" s="300" t="s">
        <v>1081</v>
      </c>
      <c r="B15" s="301">
        <f>B14-C14</f>
        <v>1157.0899999999997</v>
      </c>
      <c r="C15" s="302"/>
      <c r="E15" s="303" t="s">
        <v>912</v>
      </c>
      <c r="F15" s="304">
        <f>F14-G14</f>
        <v>1624.6</v>
      </c>
      <c r="G15" s="305"/>
      <c r="I15" s="277" t="s">
        <v>911</v>
      </c>
      <c r="J15" s="278">
        <v>10</v>
      </c>
      <c r="L15" s="332" t="s">
        <v>957</v>
      </c>
      <c r="M15" s="186" t="s">
        <v>979</v>
      </c>
      <c r="N15" s="246">
        <v>3</v>
      </c>
      <c r="O15" s="186">
        <v>4.3899999999999997</v>
      </c>
      <c r="P15" s="186">
        <f t="shared" si="0"/>
        <v>13.169999999999998</v>
      </c>
      <c r="Q15" s="257">
        <f>SUM(P2:P15)</f>
        <v>150.06999999999996</v>
      </c>
      <c r="R15" s="252">
        <f>(3*8)+(2*6)</f>
        <v>36</v>
      </c>
      <c r="S15" s="246">
        <v>4</v>
      </c>
      <c r="T15" s="246">
        <f t="shared" si="1"/>
        <v>32</v>
      </c>
      <c r="V15" s="590"/>
      <c r="W15" s="590" t="s">
        <v>808</v>
      </c>
      <c r="X15" s="590" t="s">
        <v>1106</v>
      </c>
      <c r="Y15" s="590"/>
      <c r="Z15" s="590"/>
      <c r="AA15" s="590"/>
      <c r="AB15" s="595" t="s">
        <v>1107</v>
      </c>
      <c r="AE15" s="142" t="s">
        <v>1131</v>
      </c>
      <c r="AF15" s="251">
        <f>(3*8)+(2*6)</f>
        <v>36</v>
      </c>
      <c r="AG15" s="155">
        <v>4</v>
      </c>
      <c r="AH15" s="155">
        <f t="shared" si="5"/>
        <v>32</v>
      </c>
    </row>
    <row r="16" spans="1:34" ht="16.5" customHeight="1" thickTop="1" thickBot="1" x14ac:dyDescent="0.35">
      <c r="I16" s="265" t="s">
        <v>912</v>
      </c>
      <c r="J16" s="266">
        <f>SUM(J7:J15)</f>
        <v>76</v>
      </c>
      <c r="L16" s="186" t="s">
        <v>957</v>
      </c>
      <c r="M16" s="186" t="s">
        <v>991</v>
      </c>
      <c r="N16" s="246">
        <v>2</v>
      </c>
      <c r="O16" s="186">
        <v>4</v>
      </c>
      <c r="P16" s="186">
        <f>N16*O16</f>
        <v>8</v>
      </c>
      <c r="Q16" s="330"/>
      <c r="R16" s="328"/>
      <c r="S16" s="328"/>
      <c r="T16" s="328">
        <f>R16-S16</f>
        <v>0</v>
      </c>
      <c r="V16" s="590"/>
      <c r="W16" s="590"/>
      <c r="X16" s="590"/>
      <c r="Y16" s="590"/>
      <c r="Z16" s="590"/>
      <c r="AA16" s="590"/>
      <c r="AB16" s="595"/>
      <c r="AE16" s="142" t="s">
        <v>1141</v>
      </c>
      <c r="AF16" s="155">
        <v>40</v>
      </c>
      <c r="AG16" s="155">
        <v>5</v>
      </c>
      <c r="AH16" s="155">
        <f>AF16-AG16</f>
        <v>35</v>
      </c>
    </row>
    <row r="17" spans="1:34" ht="16.5" customHeight="1" thickTop="1" x14ac:dyDescent="0.3">
      <c r="A17" s="584" t="s">
        <v>1006</v>
      </c>
      <c r="B17" s="585"/>
      <c r="E17" s="306" t="s">
        <v>988</v>
      </c>
      <c r="F17" s="307" t="s">
        <v>2</v>
      </c>
      <c r="G17" s="308" t="s">
        <v>982</v>
      </c>
      <c r="I17" s="267"/>
      <c r="J17" s="268"/>
      <c r="L17" s="186" t="s">
        <v>957</v>
      </c>
      <c r="M17" s="186" t="s">
        <v>981</v>
      </c>
      <c r="N17" s="246">
        <v>1</v>
      </c>
      <c r="O17" s="186">
        <v>23.2</v>
      </c>
      <c r="P17" s="186">
        <f>N17*O17</f>
        <v>23.2</v>
      </c>
      <c r="Q17" s="331"/>
      <c r="R17" s="246">
        <v>40</v>
      </c>
      <c r="S17" s="246">
        <v>5</v>
      </c>
      <c r="T17" s="246">
        <f>R17-S17</f>
        <v>35</v>
      </c>
      <c r="V17" s="142" t="s">
        <v>1103</v>
      </c>
      <c r="W17" s="155">
        <v>1</v>
      </c>
      <c r="X17" s="155">
        <v>1</v>
      </c>
      <c r="Y17" s="155"/>
      <c r="Z17" s="155"/>
      <c r="AA17" s="155"/>
      <c r="AB17" s="155">
        <f t="shared" ref="AB17:AB22" si="6">W17*X17</f>
        <v>1</v>
      </c>
      <c r="AE17" s="142" t="s">
        <v>1087</v>
      </c>
      <c r="AF17" s="251">
        <v>180</v>
      </c>
      <c r="AG17" s="155">
        <v>4</v>
      </c>
      <c r="AH17" s="155">
        <f>AF17-AG17</f>
        <v>176</v>
      </c>
    </row>
    <row r="18" spans="1:34" ht="16.5" customHeight="1" x14ac:dyDescent="0.3">
      <c r="A18" s="311" t="s">
        <v>1007</v>
      </c>
      <c r="B18" s="312">
        <v>85.07</v>
      </c>
      <c r="E18" s="290" t="s">
        <v>984</v>
      </c>
      <c r="F18" s="142">
        <f>11*20</f>
        <v>220</v>
      </c>
      <c r="G18" s="291"/>
      <c r="I18" s="582" t="s">
        <v>913</v>
      </c>
      <c r="J18" s="583"/>
      <c r="L18" s="186" t="s">
        <v>957</v>
      </c>
      <c r="M18" s="186" t="s">
        <v>1087</v>
      </c>
      <c r="N18" s="246">
        <v>180</v>
      </c>
      <c r="O18" s="186"/>
      <c r="P18" s="186"/>
      <c r="Q18" s="330"/>
      <c r="R18" s="252">
        <v>180</v>
      </c>
      <c r="S18" s="246">
        <v>4</v>
      </c>
      <c r="T18" s="246">
        <f>R18-S18</f>
        <v>176</v>
      </c>
      <c r="V18" s="142" t="s">
        <v>1104</v>
      </c>
      <c r="W18" s="155">
        <v>29</v>
      </c>
      <c r="X18" s="155">
        <v>1</v>
      </c>
      <c r="Y18" s="155"/>
      <c r="Z18" s="155"/>
      <c r="AA18" s="155"/>
      <c r="AB18" s="155">
        <f t="shared" si="6"/>
        <v>29</v>
      </c>
      <c r="AE18" s="320" t="s">
        <v>1114</v>
      </c>
      <c r="AF18" s="364">
        <v>18</v>
      </c>
      <c r="AG18" s="365">
        <v>0</v>
      </c>
      <c r="AH18" s="155">
        <f>AF18-AG18</f>
        <v>18</v>
      </c>
    </row>
    <row r="19" spans="1:34" ht="16.5" customHeight="1" x14ac:dyDescent="0.3">
      <c r="A19" s="313" t="s">
        <v>1008</v>
      </c>
      <c r="B19" s="312">
        <f>Q33</f>
        <v>14.98</v>
      </c>
      <c r="E19" s="290" t="s">
        <v>994</v>
      </c>
      <c r="F19" s="142">
        <f>30*10</f>
        <v>300</v>
      </c>
      <c r="G19" s="291"/>
      <c r="I19" s="277" t="s">
        <v>914</v>
      </c>
      <c r="J19" s="278">
        <v>7.5</v>
      </c>
      <c r="L19" s="341"/>
      <c r="M19" s="186" t="s">
        <v>1114</v>
      </c>
      <c r="N19" s="246" t="s">
        <v>1124</v>
      </c>
      <c r="O19" s="186"/>
      <c r="P19" s="186"/>
      <c r="Q19" s="330"/>
      <c r="R19" s="252">
        <v>10</v>
      </c>
      <c r="S19" s="246">
        <v>0</v>
      </c>
      <c r="T19" s="246">
        <f>R19-S19</f>
        <v>10</v>
      </c>
      <c r="V19" s="142" t="s">
        <v>1105</v>
      </c>
      <c r="W19" s="155">
        <v>2</v>
      </c>
      <c r="X19" s="155">
        <v>1</v>
      </c>
      <c r="Y19" s="155"/>
      <c r="Z19" s="155"/>
      <c r="AA19" s="155"/>
      <c r="AB19" s="351">
        <f t="shared" si="6"/>
        <v>2</v>
      </c>
      <c r="AE19" s="366" t="s">
        <v>1130</v>
      </c>
      <c r="AF19" s="366"/>
      <c r="AG19" s="366"/>
    </row>
    <row r="20" spans="1:34" ht="16.5" customHeight="1" x14ac:dyDescent="0.3">
      <c r="A20" s="313" t="s">
        <v>1009</v>
      </c>
      <c r="B20" s="312"/>
      <c r="E20" s="290" t="s">
        <v>995</v>
      </c>
      <c r="F20" s="142">
        <f>12*5</f>
        <v>60</v>
      </c>
      <c r="G20" s="291"/>
      <c r="I20" s="277" t="s">
        <v>916</v>
      </c>
      <c r="J20" s="278">
        <v>2</v>
      </c>
      <c r="L20" s="342"/>
      <c r="M20" s="142"/>
      <c r="N20" s="155"/>
      <c r="O20" s="142"/>
      <c r="P20" s="142"/>
      <c r="Q20" s="343"/>
      <c r="R20" s="251"/>
      <c r="S20" s="155"/>
      <c r="T20" s="155"/>
      <c r="V20" s="142" t="s">
        <v>1109</v>
      </c>
      <c r="W20" s="155">
        <f>124-W21</f>
        <v>92</v>
      </c>
      <c r="X20" s="155">
        <v>1.1000000000000001</v>
      </c>
      <c r="Y20" s="155"/>
      <c r="Z20" s="155"/>
      <c r="AA20" s="155"/>
      <c r="AB20" s="351">
        <f t="shared" si="6"/>
        <v>101.2</v>
      </c>
      <c r="AE20" t="s">
        <v>1142</v>
      </c>
    </row>
    <row r="21" spans="1:34" ht="16.5" customHeight="1" thickBot="1" x14ac:dyDescent="0.35">
      <c r="A21" s="271" t="s">
        <v>537</v>
      </c>
      <c r="B21" s="272">
        <f>SUM(B18:B19)</f>
        <v>100.05</v>
      </c>
      <c r="E21" s="290" t="s">
        <v>985</v>
      </c>
      <c r="F21" s="142">
        <f>57*2</f>
        <v>114</v>
      </c>
      <c r="G21" s="291"/>
      <c r="I21" s="277" t="s">
        <v>915</v>
      </c>
      <c r="J21" s="278">
        <v>5</v>
      </c>
      <c r="L21" s="332" t="s">
        <v>958</v>
      </c>
      <c r="M21" s="333" t="s">
        <v>959</v>
      </c>
      <c r="N21" s="247">
        <v>5</v>
      </c>
      <c r="O21" s="333">
        <v>3.43</v>
      </c>
      <c r="P21" s="333">
        <f t="shared" si="0"/>
        <v>17.150000000000002</v>
      </c>
      <c r="Q21" s="334"/>
      <c r="R21" s="253">
        <v>5</v>
      </c>
      <c r="S21" s="247">
        <v>3</v>
      </c>
      <c r="T21" s="247">
        <f t="shared" si="1"/>
        <v>2</v>
      </c>
      <c r="V21" s="142" t="s">
        <v>1110</v>
      </c>
      <c r="W21" s="155">
        <v>32</v>
      </c>
      <c r="X21" s="155">
        <v>1.5</v>
      </c>
      <c r="Y21" s="155"/>
      <c r="Z21" s="155"/>
      <c r="AA21" s="155"/>
      <c r="AB21" s="351">
        <f t="shared" si="6"/>
        <v>48</v>
      </c>
    </row>
    <row r="22" spans="1:34" ht="29.4" thickBot="1" x14ac:dyDescent="0.35">
      <c r="E22" s="290" t="s">
        <v>1002</v>
      </c>
      <c r="F22" s="142">
        <f>44*1</f>
        <v>44</v>
      </c>
      <c r="G22" s="291"/>
      <c r="I22" s="309" t="s">
        <v>917</v>
      </c>
      <c r="J22" s="310">
        <f>SUM(J19:J21)</f>
        <v>14.5</v>
      </c>
      <c r="L22" s="332" t="s">
        <v>958</v>
      </c>
      <c r="M22" s="333" t="s">
        <v>961</v>
      </c>
      <c r="N22" s="247">
        <v>1</v>
      </c>
      <c r="O22" s="333">
        <v>13.28</v>
      </c>
      <c r="P22" s="333">
        <f t="shared" si="0"/>
        <v>13.28</v>
      </c>
      <c r="Q22" s="335"/>
      <c r="R22" s="253">
        <v>1</v>
      </c>
      <c r="S22" s="247">
        <v>0</v>
      </c>
      <c r="T22" s="247">
        <f t="shared" si="1"/>
        <v>1</v>
      </c>
      <c r="V22" s="142" t="s">
        <v>1102</v>
      </c>
      <c r="W22" s="155">
        <v>37</v>
      </c>
      <c r="X22" s="155">
        <v>2.5</v>
      </c>
      <c r="Y22" s="155"/>
      <c r="Z22" s="155"/>
      <c r="AA22" s="155"/>
      <c r="AB22" s="351">
        <f t="shared" si="6"/>
        <v>92.5</v>
      </c>
      <c r="AE22" s="379" t="s">
        <v>1140</v>
      </c>
      <c r="AF22" s="339" t="s">
        <v>1125</v>
      </c>
      <c r="AG22" s="339" t="s">
        <v>990</v>
      </c>
      <c r="AH22" s="339" t="s">
        <v>992</v>
      </c>
    </row>
    <row r="23" spans="1:34" ht="16.5" customHeight="1" thickTop="1" thickBot="1" x14ac:dyDescent="0.35">
      <c r="A23" s="315" t="s">
        <v>1082</v>
      </c>
      <c r="B23" s="316"/>
      <c r="E23" s="290" t="s">
        <v>1003</v>
      </c>
      <c r="F23" s="142">
        <f>20+(27*0.5)</f>
        <v>33.5</v>
      </c>
      <c r="G23" s="291"/>
      <c r="I23" s="269" t="s">
        <v>918</v>
      </c>
      <c r="J23" s="270">
        <f>J16+J22</f>
        <v>90.5</v>
      </c>
      <c r="L23" s="332"/>
      <c r="M23" s="333" t="s">
        <v>1111</v>
      </c>
      <c r="N23" s="247">
        <v>0</v>
      </c>
      <c r="O23" s="333"/>
      <c r="P23" s="333"/>
      <c r="Q23" s="335"/>
      <c r="R23" s="253"/>
      <c r="S23" s="247">
        <v>2</v>
      </c>
      <c r="T23" s="247"/>
      <c r="AE23" s="142" t="s">
        <v>959</v>
      </c>
      <c r="AF23" s="155">
        <v>5</v>
      </c>
      <c r="AG23" s="155">
        <v>3</v>
      </c>
      <c r="AH23" s="155">
        <f t="shared" ref="AH23:AH42" si="7">AF23-AG23</f>
        <v>2</v>
      </c>
    </row>
    <row r="24" spans="1:34" ht="16.5" customHeight="1" thickBot="1" x14ac:dyDescent="0.35">
      <c r="A24" s="317" t="s">
        <v>1032</v>
      </c>
      <c r="B24" s="318">
        <v>61.07</v>
      </c>
      <c r="E24" s="290" t="s">
        <v>1004</v>
      </c>
      <c r="F24" s="142">
        <f>27*0.2</f>
        <v>5.4</v>
      </c>
      <c r="G24" s="291"/>
      <c r="L24" s="332" t="s">
        <v>958</v>
      </c>
      <c r="M24" s="333" t="s">
        <v>968</v>
      </c>
      <c r="N24" s="247">
        <v>2</v>
      </c>
      <c r="O24" s="333">
        <v>1.87</v>
      </c>
      <c r="P24" s="333">
        <f t="shared" si="0"/>
        <v>3.74</v>
      </c>
      <c r="Q24" s="335"/>
      <c r="R24" s="253">
        <v>2</v>
      </c>
      <c r="S24" s="247">
        <v>0</v>
      </c>
      <c r="T24" s="247">
        <f t="shared" si="1"/>
        <v>2</v>
      </c>
      <c r="AE24" s="142" t="s">
        <v>961</v>
      </c>
      <c r="AF24" s="155">
        <v>1</v>
      </c>
      <c r="AG24" s="155">
        <v>0</v>
      </c>
      <c r="AH24" s="155">
        <f t="shared" si="7"/>
        <v>1</v>
      </c>
    </row>
    <row r="25" spans="1:34" ht="16.5" customHeight="1" thickTop="1" x14ac:dyDescent="0.3">
      <c r="A25" s="277" t="s">
        <v>1031</v>
      </c>
      <c r="B25" s="278">
        <v>68.8</v>
      </c>
      <c r="E25" s="290" t="s">
        <v>986</v>
      </c>
      <c r="F25" s="142">
        <f>15*0.1</f>
        <v>1.5</v>
      </c>
      <c r="G25" s="291"/>
      <c r="I25" s="586" t="s">
        <v>945</v>
      </c>
      <c r="J25" s="587"/>
      <c r="L25" s="332" t="s">
        <v>958</v>
      </c>
      <c r="M25" s="333" t="s">
        <v>971</v>
      </c>
      <c r="N25" s="247">
        <v>2</v>
      </c>
      <c r="O25" s="333">
        <v>1.54</v>
      </c>
      <c r="P25" s="333">
        <f t="shared" si="0"/>
        <v>3.08</v>
      </c>
      <c r="Q25" s="335"/>
      <c r="R25" s="253">
        <v>2</v>
      </c>
      <c r="S25" s="247">
        <v>0</v>
      </c>
      <c r="T25" s="247">
        <f t="shared" si="1"/>
        <v>2</v>
      </c>
      <c r="AE25" s="142" t="s">
        <v>1111</v>
      </c>
      <c r="AF25" s="155">
        <v>0</v>
      </c>
      <c r="AG25" s="155">
        <v>2</v>
      </c>
      <c r="AH25" s="155">
        <v>0</v>
      </c>
    </row>
    <row r="26" spans="1:34" ht="16.5" customHeight="1" x14ac:dyDescent="0.3">
      <c r="A26" s="277" t="s">
        <v>1033</v>
      </c>
      <c r="B26" s="278">
        <v>3.2</v>
      </c>
      <c r="E26" s="290" t="s">
        <v>996</v>
      </c>
      <c r="F26" s="142">
        <v>14.5</v>
      </c>
      <c r="G26" s="291"/>
      <c r="I26" s="588"/>
      <c r="J26" s="589"/>
      <c r="L26" s="332" t="s">
        <v>958</v>
      </c>
      <c r="M26" s="333" t="s">
        <v>973</v>
      </c>
      <c r="N26" s="247">
        <v>6</v>
      </c>
      <c r="O26" s="333">
        <v>1.99</v>
      </c>
      <c r="P26" s="333">
        <f t="shared" si="0"/>
        <v>11.94</v>
      </c>
      <c r="Q26" s="335"/>
      <c r="R26" s="253">
        <v>6</v>
      </c>
      <c r="S26" s="247">
        <v>0</v>
      </c>
      <c r="T26" s="247">
        <f t="shared" si="1"/>
        <v>6</v>
      </c>
      <c r="AE26" s="142" t="s">
        <v>968</v>
      </c>
      <c r="AF26" s="155">
        <v>2</v>
      </c>
      <c r="AG26" s="155">
        <v>0</v>
      </c>
      <c r="AH26" s="155">
        <f t="shared" si="7"/>
        <v>2</v>
      </c>
    </row>
    <row r="27" spans="1:34" ht="16.5" customHeight="1" x14ac:dyDescent="0.3">
      <c r="A27" s="277" t="s">
        <v>1034</v>
      </c>
      <c r="B27" s="278">
        <v>14.16</v>
      </c>
      <c r="E27" s="290" t="s">
        <v>1010</v>
      </c>
      <c r="F27" s="142">
        <v>8</v>
      </c>
      <c r="G27" s="291"/>
      <c r="I27" s="277" t="s">
        <v>933</v>
      </c>
      <c r="J27" s="314">
        <v>10</v>
      </c>
      <c r="L27" s="255" t="s">
        <v>958</v>
      </c>
      <c r="M27" s="333" t="s">
        <v>974</v>
      </c>
      <c r="N27" s="247">
        <v>1</v>
      </c>
      <c r="O27" s="333">
        <v>11.88</v>
      </c>
      <c r="P27" s="333">
        <f t="shared" si="0"/>
        <v>11.88</v>
      </c>
      <c r="Q27" s="335">
        <f>SUM(P21:P27)</f>
        <v>61.07</v>
      </c>
      <c r="R27" s="253">
        <v>6</v>
      </c>
      <c r="S27" s="247">
        <v>1</v>
      </c>
      <c r="T27" s="247">
        <f t="shared" si="1"/>
        <v>5</v>
      </c>
      <c r="AE27" s="142" t="s">
        <v>971</v>
      </c>
      <c r="AF27" s="155">
        <v>2</v>
      </c>
      <c r="AG27" s="155">
        <v>0</v>
      </c>
      <c r="AH27" s="155">
        <f t="shared" si="7"/>
        <v>2</v>
      </c>
    </row>
    <row r="28" spans="1:34" ht="16.5" customHeight="1" thickBot="1" x14ac:dyDescent="0.35">
      <c r="A28" s="273" t="s">
        <v>537</v>
      </c>
      <c r="B28" s="274">
        <f>SUM(B24:B27)</f>
        <v>147.22999999999999</v>
      </c>
      <c r="E28" s="290" t="s">
        <v>1011</v>
      </c>
      <c r="F28" s="142">
        <v>23.2</v>
      </c>
      <c r="G28" s="291"/>
      <c r="I28" s="277" t="s">
        <v>934</v>
      </c>
      <c r="J28" s="314">
        <v>10</v>
      </c>
      <c r="L28" s="186" t="s">
        <v>958</v>
      </c>
      <c r="M28" s="333" t="s">
        <v>980</v>
      </c>
      <c r="N28" s="247">
        <v>2</v>
      </c>
      <c r="O28" s="333">
        <v>1.6</v>
      </c>
      <c r="P28" s="333">
        <f>N28*O28</f>
        <v>3.2</v>
      </c>
      <c r="Q28" s="336"/>
      <c r="R28" s="247">
        <v>2</v>
      </c>
      <c r="S28" s="247">
        <v>1</v>
      </c>
      <c r="T28" s="247">
        <f>R28-S28</f>
        <v>1</v>
      </c>
      <c r="AE28" s="142" t="s">
        <v>973</v>
      </c>
      <c r="AF28" s="155">
        <v>6</v>
      </c>
      <c r="AG28" s="155">
        <v>0</v>
      </c>
      <c r="AH28" s="155">
        <f t="shared" si="7"/>
        <v>6</v>
      </c>
    </row>
    <row r="29" spans="1:34" ht="16.5" customHeight="1" thickTop="1" thickBot="1" x14ac:dyDescent="0.35">
      <c r="E29" s="290" t="s">
        <v>1020</v>
      </c>
      <c r="F29" s="142">
        <v>3.2</v>
      </c>
      <c r="G29" s="291"/>
      <c r="I29" s="277" t="s">
        <v>935</v>
      </c>
      <c r="J29" s="314">
        <v>10</v>
      </c>
      <c r="L29" s="341"/>
      <c r="M29" s="333" t="s">
        <v>1112</v>
      </c>
      <c r="N29" s="247">
        <v>0</v>
      </c>
      <c r="O29" s="333"/>
      <c r="P29" s="333"/>
      <c r="Q29" s="354"/>
      <c r="R29" s="253"/>
      <c r="S29" s="247">
        <v>1</v>
      </c>
      <c r="T29" s="247"/>
      <c r="AE29" s="142" t="s">
        <v>974</v>
      </c>
      <c r="AF29" s="155">
        <v>6</v>
      </c>
      <c r="AG29" s="155">
        <v>1</v>
      </c>
      <c r="AH29" s="155">
        <f t="shared" si="7"/>
        <v>5</v>
      </c>
    </row>
    <row r="30" spans="1:34" ht="16.5" customHeight="1" thickTop="1" x14ac:dyDescent="0.3">
      <c r="A30" s="571" t="s">
        <v>1083</v>
      </c>
      <c r="B30" s="572"/>
      <c r="E30" s="290" t="s">
        <v>1012</v>
      </c>
      <c r="F30" s="142">
        <v>13.8</v>
      </c>
      <c r="G30" s="291"/>
      <c r="I30" s="277" t="s">
        <v>936</v>
      </c>
      <c r="J30" s="314">
        <v>10</v>
      </c>
      <c r="L30" s="342"/>
      <c r="M30" s="142"/>
      <c r="N30" s="155"/>
      <c r="O30" s="142"/>
      <c r="P30" s="142"/>
      <c r="Q30" s="343"/>
      <c r="R30" s="251"/>
      <c r="S30" s="155"/>
      <c r="T30" s="155"/>
      <c r="AE30" s="142" t="s">
        <v>980</v>
      </c>
      <c r="AF30" s="155">
        <v>2</v>
      </c>
      <c r="AG30" s="155">
        <v>1</v>
      </c>
      <c r="AH30" s="155">
        <f>AF30-AG30</f>
        <v>1</v>
      </c>
    </row>
    <row r="31" spans="1:34" ht="16.5" customHeight="1" x14ac:dyDescent="0.3">
      <c r="A31" s="295" t="s">
        <v>1035</v>
      </c>
      <c r="B31" s="322">
        <v>175.78</v>
      </c>
      <c r="E31" s="290" t="s">
        <v>1019</v>
      </c>
      <c r="F31" s="142">
        <v>1.4</v>
      </c>
      <c r="G31" s="291"/>
      <c r="I31" s="277" t="s">
        <v>937</v>
      </c>
      <c r="J31" s="314">
        <v>10</v>
      </c>
      <c r="L31" s="344" t="s">
        <v>305</v>
      </c>
      <c r="M31" s="345" t="s">
        <v>960</v>
      </c>
      <c r="N31" s="346">
        <v>2</v>
      </c>
      <c r="O31" s="345">
        <v>1.49</v>
      </c>
      <c r="P31" s="345">
        <f t="shared" si="0"/>
        <v>2.98</v>
      </c>
      <c r="Q31" s="347"/>
      <c r="R31" s="348">
        <v>4</v>
      </c>
      <c r="S31" s="346">
        <v>0.8</v>
      </c>
      <c r="T31" s="346">
        <f t="shared" si="1"/>
        <v>3.2</v>
      </c>
      <c r="AE31" s="142" t="s">
        <v>1112</v>
      </c>
      <c r="AF31" s="155">
        <v>0</v>
      </c>
      <c r="AG31" s="155">
        <v>1</v>
      </c>
      <c r="AH31" s="155">
        <v>0</v>
      </c>
    </row>
    <row r="32" spans="1:34" ht="16.5" customHeight="1" x14ac:dyDescent="0.3">
      <c r="A32" s="295" t="s">
        <v>1036</v>
      </c>
      <c r="B32" s="322">
        <v>41.8</v>
      </c>
      <c r="E32" s="290" t="s">
        <v>1030</v>
      </c>
      <c r="F32" s="142">
        <v>48</v>
      </c>
      <c r="G32" s="291"/>
      <c r="I32" s="277" t="s">
        <v>938</v>
      </c>
      <c r="J32" s="314">
        <v>10</v>
      </c>
      <c r="L32" s="344" t="s">
        <v>305</v>
      </c>
      <c r="M32" s="345" t="s">
        <v>960</v>
      </c>
      <c r="N32" s="346">
        <v>2</v>
      </c>
      <c r="O32" s="345">
        <v>1.74</v>
      </c>
      <c r="P32" s="345">
        <f t="shared" si="0"/>
        <v>3.48</v>
      </c>
      <c r="Q32" s="349"/>
      <c r="R32" s="329"/>
      <c r="S32" s="328"/>
      <c r="T32" s="328">
        <f t="shared" si="1"/>
        <v>0</v>
      </c>
      <c r="AE32" s="376"/>
      <c r="AF32" s="378"/>
      <c r="AG32" s="377"/>
      <c r="AH32" s="377"/>
    </row>
    <row r="33" spans="1:34" ht="16.5" customHeight="1" thickBot="1" x14ac:dyDescent="0.35">
      <c r="A33" s="303" t="s">
        <v>1084</v>
      </c>
      <c r="B33" s="327">
        <f>SUM(B31:B32)</f>
        <v>217.57999999999998</v>
      </c>
      <c r="E33" s="319" t="s">
        <v>987</v>
      </c>
      <c r="F33" s="320"/>
      <c r="G33" s="321">
        <v>330</v>
      </c>
      <c r="I33" s="277" t="s">
        <v>939</v>
      </c>
      <c r="J33" s="314">
        <v>64</v>
      </c>
      <c r="L33" s="344" t="s">
        <v>305</v>
      </c>
      <c r="M33" s="345" t="s">
        <v>978</v>
      </c>
      <c r="N33" s="346">
        <v>2</v>
      </c>
      <c r="O33" s="345">
        <v>4.26</v>
      </c>
      <c r="P33" s="345">
        <f t="shared" si="0"/>
        <v>8.52</v>
      </c>
      <c r="Q33" s="350">
        <f>SUM(P31:P33)</f>
        <v>14.98</v>
      </c>
      <c r="R33" s="348">
        <v>2</v>
      </c>
      <c r="S33" s="346">
        <v>0.5</v>
      </c>
      <c r="T33" s="346">
        <f t="shared" si="1"/>
        <v>1.5</v>
      </c>
      <c r="AE33" s="142"/>
      <c r="AF33" s="251"/>
      <c r="AG33" s="155"/>
      <c r="AH33" s="155"/>
    </row>
    <row r="34" spans="1:34" ht="16.5" customHeight="1" thickTop="1" thickBot="1" x14ac:dyDescent="0.35">
      <c r="E34" s="298"/>
      <c r="F34" s="182">
        <f>SUM(F18:F33)</f>
        <v>890.5</v>
      </c>
      <c r="G34" s="299">
        <f>SUM(G18:G33)</f>
        <v>330</v>
      </c>
      <c r="I34" s="277" t="s">
        <v>940</v>
      </c>
      <c r="J34" s="314">
        <v>56</v>
      </c>
      <c r="L34" s="258"/>
      <c r="M34" s="259" t="s">
        <v>61</v>
      </c>
      <c r="N34" s="337"/>
      <c r="O34" s="259"/>
      <c r="P34" s="259">
        <f>SUM(P2:P33)</f>
        <v>260.51999999999992</v>
      </c>
      <c r="Q34" s="260">
        <f>SUM(Q2:Q33)</f>
        <v>226.11999999999995</v>
      </c>
      <c r="AE34" s="142"/>
      <c r="AF34" s="251"/>
      <c r="AG34" s="155"/>
      <c r="AH34" s="155"/>
    </row>
    <row r="35" spans="1:34" ht="16.5" customHeight="1" thickBot="1" x14ac:dyDescent="0.35">
      <c r="A35" s="276" t="s">
        <v>1121</v>
      </c>
      <c r="B35" s="358"/>
      <c r="E35" s="298" t="s">
        <v>1050</v>
      </c>
      <c r="F35" s="182">
        <f>F34-G34</f>
        <v>560.5</v>
      </c>
      <c r="G35" s="299"/>
      <c r="I35" s="277" t="s">
        <v>941</v>
      </c>
      <c r="J35" s="314">
        <v>20</v>
      </c>
      <c r="AE35" s="142"/>
      <c r="AF35" s="251"/>
      <c r="AG35" s="155"/>
      <c r="AH35" s="155"/>
    </row>
    <row r="36" spans="1:34" ht="16.5" customHeight="1" x14ac:dyDescent="0.3">
      <c r="A36" s="142" t="s">
        <v>1116</v>
      </c>
      <c r="B36" s="3">
        <v>18.54</v>
      </c>
      <c r="E36" s="325"/>
      <c r="G36" s="326"/>
      <c r="I36" s="277" t="s">
        <v>942</v>
      </c>
      <c r="J36" s="314">
        <v>20</v>
      </c>
      <c r="L36" s="592" t="s">
        <v>1029</v>
      </c>
      <c r="M36" s="593"/>
      <c r="N36" s="593"/>
      <c r="O36" s="593"/>
      <c r="P36" s="593"/>
      <c r="Q36" s="594"/>
      <c r="AE36" s="142"/>
      <c r="AF36" s="251"/>
      <c r="AG36" s="155"/>
      <c r="AH36" s="155"/>
    </row>
    <row r="37" spans="1:34" x14ac:dyDescent="0.3">
      <c r="A37" s="142" t="s">
        <v>1117</v>
      </c>
      <c r="B37" s="3">
        <v>22.12</v>
      </c>
      <c r="E37" s="290" t="s">
        <v>1022</v>
      </c>
      <c r="F37" s="142"/>
      <c r="G37" s="291">
        <v>198.07</v>
      </c>
      <c r="I37" s="277" t="s">
        <v>943</v>
      </c>
      <c r="J37" s="314">
        <v>20</v>
      </c>
      <c r="L37" s="255" t="s">
        <v>957</v>
      </c>
      <c r="M37" s="186" t="s">
        <v>972</v>
      </c>
      <c r="N37" s="246">
        <v>2</v>
      </c>
      <c r="O37" s="186">
        <v>5.38</v>
      </c>
      <c r="P37" s="186">
        <f t="shared" ref="P37:P39" si="8">N37*O37</f>
        <v>10.76</v>
      </c>
      <c r="Q37" s="261"/>
      <c r="AE37" s="379" t="s">
        <v>1143</v>
      </c>
      <c r="AF37" s="339" t="s">
        <v>1125</v>
      </c>
      <c r="AG37" s="339" t="s">
        <v>990</v>
      </c>
      <c r="AH37" s="339" t="s">
        <v>992</v>
      </c>
    </row>
    <row r="38" spans="1:34" ht="16.5" customHeight="1" x14ac:dyDescent="0.3">
      <c r="A38" s="142" t="s">
        <v>1118</v>
      </c>
      <c r="B38" s="3">
        <v>7.5</v>
      </c>
      <c r="E38" s="290" t="s">
        <v>1051</v>
      </c>
      <c r="F38" s="142"/>
      <c r="G38" s="291">
        <v>8</v>
      </c>
      <c r="I38" s="277" t="s">
        <v>944</v>
      </c>
      <c r="J38" s="314">
        <v>20</v>
      </c>
      <c r="L38" s="255" t="s">
        <v>957</v>
      </c>
      <c r="M38" s="186" t="s">
        <v>975</v>
      </c>
      <c r="N38" s="246">
        <v>2</v>
      </c>
      <c r="O38" s="186">
        <v>7.4</v>
      </c>
      <c r="P38" s="186">
        <f t="shared" si="8"/>
        <v>14.8</v>
      </c>
      <c r="Q38" s="261"/>
      <c r="AE38" s="142" t="s">
        <v>1149</v>
      </c>
      <c r="AF38" s="251" t="s">
        <v>1145</v>
      </c>
      <c r="AG38" s="155">
        <v>0</v>
      </c>
      <c r="AH38" s="251" t="s">
        <v>1145</v>
      </c>
    </row>
    <row r="39" spans="1:34" ht="16.5" customHeight="1" thickBot="1" x14ac:dyDescent="0.35">
      <c r="A39" s="142" t="s">
        <v>1119</v>
      </c>
      <c r="B39" s="3">
        <v>36.909999999999997</v>
      </c>
      <c r="E39" s="290" t="s">
        <v>1052</v>
      </c>
      <c r="F39" s="142"/>
      <c r="G39" s="291">
        <v>23.2</v>
      </c>
      <c r="I39" s="323"/>
      <c r="J39" s="324">
        <f>SUM(J27:J38)</f>
        <v>260</v>
      </c>
      <c r="L39" s="255" t="s">
        <v>957</v>
      </c>
      <c r="M39" s="186" t="s">
        <v>969</v>
      </c>
      <c r="N39" s="246">
        <v>3</v>
      </c>
      <c r="O39" s="186">
        <v>7.48</v>
      </c>
      <c r="P39" s="186">
        <f t="shared" si="8"/>
        <v>22.44</v>
      </c>
      <c r="Q39" s="261"/>
      <c r="AE39" s="142" t="s">
        <v>1148</v>
      </c>
      <c r="AF39" s="251" t="s">
        <v>1147</v>
      </c>
      <c r="AG39" s="155">
        <v>0</v>
      </c>
      <c r="AH39" s="251" t="s">
        <v>1147</v>
      </c>
    </row>
    <row r="40" spans="1:34" ht="16.5" customHeight="1" thickTop="1" thickBot="1" x14ac:dyDescent="0.35">
      <c r="A40" s="182" t="s">
        <v>1120</v>
      </c>
      <c r="B40" s="359">
        <f>SUM(B36:B39)</f>
        <v>85.07</v>
      </c>
      <c r="E40" s="290" t="s">
        <v>1023</v>
      </c>
      <c r="F40" s="142"/>
      <c r="G40" s="291">
        <v>9.18</v>
      </c>
      <c r="L40" s="262"/>
      <c r="M40" s="263" t="s">
        <v>61</v>
      </c>
      <c r="N40" s="338"/>
      <c r="O40" s="263"/>
      <c r="P40" s="263">
        <f>SUM(P37:P39)</f>
        <v>48</v>
      </c>
      <c r="Q40" s="264">
        <f>P40</f>
        <v>48</v>
      </c>
      <c r="AE40" s="142" t="s">
        <v>1144</v>
      </c>
      <c r="AF40" s="251">
        <v>6</v>
      </c>
      <c r="AG40" s="155">
        <v>0</v>
      </c>
      <c r="AH40" s="155">
        <v>6</v>
      </c>
    </row>
    <row r="41" spans="1:34" ht="16.5" customHeight="1" x14ac:dyDescent="0.3">
      <c r="E41" s="298" t="s">
        <v>1085</v>
      </c>
      <c r="F41" s="182"/>
      <c r="G41" s="299">
        <f>SUM(G37:G40)</f>
        <v>238.45</v>
      </c>
      <c r="AE41" s="142" t="s">
        <v>1146</v>
      </c>
      <c r="AF41" s="251">
        <v>4</v>
      </c>
      <c r="AG41" s="155">
        <v>0.8</v>
      </c>
      <c r="AH41" s="155">
        <f t="shared" si="7"/>
        <v>3.2</v>
      </c>
    </row>
    <row r="42" spans="1:34" ht="16.5" customHeight="1" thickBot="1" x14ac:dyDescent="0.35">
      <c r="E42" s="303" t="s">
        <v>1086</v>
      </c>
      <c r="F42" s="304">
        <f>F35-G41</f>
        <v>322.05</v>
      </c>
      <c r="G42" s="305"/>
      <c r="AE42" s="142" t="s">
        <v>978</v>
      </c>
      <c r="AF42" s="251">
        <v>2</v>
      </c>
      <c r="AG42" s="155">
        <v>0.5</v>
      </c>
      <c r="AH42" s="155">
        <f t="shared" si="7"/>
        <v>1.5</v>
      </c>
    </row>
    <row r="43" spans="1:34" ht="16.5" customHeight="1" thickTop="1" x14ac:dyDescent="0.3">
      <c r="AF43" s="136"/>
      <c r="AH43" s="136"/>
    </row>
    <row r="44" spans="1:34" ht="16.5" customHeight="1" x14ac:dyDescent="0.3">
      <c r="M44" s="276" t="s">
        <v>844</v>
      </c>
      <c r="N44" s="339"/>
    </row>
    <row r="45" spans="1:34" ht="16.5" customHeight="1" x14ac:dyDescent="0.3">
      <c r="M45" s="275" t="s">
        <v>1024</v>
      </c>
      <c r="N45" s="340">
        <v>68.8</v>
      </c>
    </row>
    <row r="46" spans="1:34" ht="16.5" customHeight="1" x14ac:dyDescent="0.3">
      <c r="M46" s="275" t="s">
        <v>1025</v>
      </c>
      <c r="N46" s="340">
        <v>6.58</v>
      </c>
    </row>
    <row r="47" spans="1:34" ht="16.5" customHeight="1" x14ac:dyDescent="0.3">
      <c r="M47" s="275" t="s">
        <v>1025</v>
      </c>
      <c r="N47" s="340">
        <v>7.58</v>
      </c>
    </row>
    <row r="48" spans="1:34" ht="16.5" customHeight="1" x14ac:dyDescent="0.3">
      <c r="M48" s="275" t="s">
        <v>1026</v>
      </c>
      <c r="N48" s="340">
        <v>9.18</v>
      </c>
    </row>
    <row r="49" spans="13:14" ht="16.5" customHeight="1" x14ac:dyDescent="0.3">
      <c r="M49" s="275" t="s">
        <v>1027</v>
      </c>
      <c r="N49" s="340">
        <v>23.99</v>
      </c>
    </row>
    <row r="50" spans="13:14" x14ac:dyDescent="0.3">
      <c r="M50" s="275" t="s">
        <v>1053</v>
      </c>
      <c r="N50" s="340">
        <v>8.11</v>
      </c>
    </row>
    <row r="51" spans="13:14" x14ac:dyDescent="0.3">
      <c r="M51" s="182" t="s">
        <v>1054</v>
      </c>
      <c r="N51" s="183">
        <f>SUM(N45:N50)</f>
        <v>124.23999999999998</v>
      </c>
    </row>
  </sheetData>
  <mergeCells count="17">
    <mergeCell ref="Y15:Y16"/>
    <mergeCell ref="Z15:Z16"/>
    <mergeCell ref="AA15:AA16"/>
    <mergeCell ref="V1:AC1"/>
    <mergeCell ref="L36:Q36"/>
    <mergeCell ref="V15:V16"/>
    <mergeCell ref="W15:W16"/>
    <mergeCell ref="X15:X16"/>
    <mergeCell ref="AB15:AB16"/>
    <mergeCell ref="A30:B30"/>
    <mergeCell ref="A1:C1"/>
    <mergeCell ref="I5:J5"/>
    <mergeCell ref="L1:P1"/>
    <mergeCell ref="I6:J6"/>
    <mergeCell ref="I18:J18"/>
    <mergeCell ref="A17:B17"/>
    <mergeCell ref="I25:J26"/>
  </mergeCells>
  <phoneticPr fontId="11" type="noConversion"/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DAA90-12C9-4A06-A2CB-A4FAE5552C25}">
  <dimension ref="A1:Z46"/>
  <sheetViews>
    <sheetView showGridLines="0" zoomScale="70" zoomScaleNormal="70" workbookViewId="0">
      <selection sqref="A1:D28"/>
    </sheetView>
  </sheetViews>
  <sheetFormatPr baseColWidth="10" defaultRowHeight="14.4" x14ac:dyDescent="0.3"/>
  <cols>
    <col min="1" max="1" width="41.44140625" bestFit="1" customWidth="1"/>
    <col min="3" max="3" width="17.33203125" customWidth="1"/>
    <col min="4" max="4" width="16.88671875" customWidth="1"/>
    <col min="5" max="5" width="4" customWidth="1"/>
    <col min="6" max="6" width="40" bestFit="1" customWidth="1"/>
    <col min="9" max="9" width="2.5546875" customWidth="1"/>
    <col min="10" max="10" width="14" customWidth="1"/>
    <col min="13" max="13" width="10.109375" customWidth="1"/>
    <col min="15" max="15" width="2.88671875" customWidth="1"/>
    <col min="16" max="16" width="31.33203125" customWidth="1"/>
    <col min="17" max="17" width="31.21875" bestFit="1" customWidth="1"/>
    <col min="18" max="20" width="22.44140625" customWidth="1"/>
    <col min="21" max="21" width="22.44140625" style="391" customWidth="1"/>
    <col min="23" max="23" width="18.6640625" customWidth="1"/>
  </cols>
  <sheetData>
    <row r="1" spans="1:26" ht="19.2" thickTop="1" thickBot="1" x14ac:dyDescent="0.35">
      <c r="A1" s="573" t="s">
        <v>1414</v>
      </c>
      <c r="B1" s="574"/>
      <c r="C1" s="575"/>
      <c r="D1" s="447"/>
      <c r="F1" s="284" t="s">
        <v>1075</v>
      </c>
      <c r="G1" s="285" t="s">
        <v>2</v>
      </c>
      <c r="H1" s="286" t="s">
        <v>982</v>
      </c>
      <c r="P1" s="598" t="s">
        <v>1331</v>
      </c>
      <c r="Q1" s="598"/>
      <c r="R1" s="598"/>
      <c r="S1" s="598"/>
      <c r="T1" s="598"/>
    </row>
    <row r="2" spans="1:26" ht="31.8" thickBot="1" x14ac:dyDescent="0.35">
      <c r="A2" s="287"/>
      <c r="B2" s="288" t="s">
        <v>2</v>
      </c>
      <c r="C2" s="289" t="s">
        <v>1059</v>
      </c>
      <c r="D2" s="448"/>
      <c r="F2" s="290" t="s">
        <v>1236</v>
      </c>
      <c r="G2" s="142">
        <f>K21</f>
        <v>156</v>
      </c>
      <c r="H2" s="291"/>
      <c r="J2" s="399" t="s">
        <v>1240</v>
      </c>
      <c r="K2" s="400">
        <f>61+50</f>
        <v>111</v>
      </c>
      <c r="L2" s="400">
        <f>2*K2</f>
        <v>222</v>
      </c>
      <c r="M2" s="400"/>
      <c r="N2" s="401">
        <f>G6+G22+G11</f>
        <v>222</v>
      </c>
      <c r="P2" s="385"/>
      <c r="Q2" s="385" t="s">
        <v>1246</v>
      </c>
      <c r="R2" s="385" t="s">
        <v>1325</v>
      </c>
      <c r="S2" s="385" t="s">
        <v>1247</v>
      </c>
      <c r="T2" s="385" t="s">
        <v>1248</v>
      </c>
    </row>
    <row r="3" spans="1:26" ht="16.2" thickBot="1" x14ac:dyDescent="0.35">
      <c r="A3" s="292" t="s">
        <v>1045</v>
      </c>
      <c r="B3" s="293">
        <f>G15</f>
        <v>486</v>
      </c>
      <c r="C3" s="294"/>
      <c r="D3" s="449"/>
      <c r="F3" s="290" t="s">
        <v>1228</v>
      </c>
      <c r="G3" s="142">
        <f>8*20</f>
        <v>160</v>
      </c>
      <c r="H3" s="291"/>
      <c r="J3" s="399" t="s">
        <v>1241</v>
      </c>
      <c r="K3" s="400">
        <f>45+50</f>
        <v>95</v>
      </c>
      <c r="L3" s="400">
        <f>1*K3</f>
        <v>95</v>
      </c>
      <c r="M3" s="400"/>
      <c r="N3" s="401">
        <f>G7+G12+G23</f>
        <v>95</v>
      </c>
      <c r="P3" s="386" t="s">
        <v>1249</v>
      </c>
      <c r="Q3" s="387" t="s">
        <v>1250</v>
      </c>
      <c r="R3" s="387">
        <v>2</v>
      </c>
      <c r="S3" s="387">
        <v>1.1000000000000001</v>
      </c>
      <c r="T3" s="388" t="s">
        <v>1251</v>
      </c>
      <c r="U3" s="390"/>
    </row>
    <row r="4" spans="1:26" ht="16.2" thickBot="1" x14ac:dyDescent="0.35">
      <c r="A4" s="292" t="s">
        <v>1413</v>
      </c>
      <c r="B4" s="293">
        <f>G34</f>
        <v>182.15999999999997</v>
      </c>
      <c r="C4" s="294"/>
      <c r="D4" s="462" t="s">
        <v>1485</v>
      </c>
      <c r="F4" s="290" t="s">
        <v>1238</v>
      </c>
      <c r="G4" s="142">
        <f>15*10</f>
        <v>150</v>
      </c>
      <c r="H4" s="291"/>
      <c r="J4" s="399" t="s">
        <v>1242</v>
      </c>
      <c r="K4" s="400">
        <f>61+40</f>
        <v>101</v>
      </c>
      <c r="L4" s="400">
        <f>0.5*K4</f>
        <v>50.5</v>
      </c>
      <c r="M4" s="400"/>
      <c r="N4" s="401">
        <f>G8+G24+G28</f>
        <v>50.5</v>
      </c>
      <c r="P4" s="386" t="s">
        <v>1252</v>
      </c>
      <c r="Q4" s="388" t="s">
        <v>687</v>
      </c>
      <c r="R4" s="388"/>
      <c r="S4" s="388" t="s">
        <v>687</v>
      </c>
      <c r="T4" s="387">
        <v>25</v>
      </c>
    </row>
    <row r="5" spans="1:26" ht="15.6" x14ac:dyDescent="0.3">
      <c r="A5" s="292" t="s">
        <v>1354</v>
      </c>
      <c r="B5" s="293"/>
      <c r="C5" s="451">
        <f>G38</f>
        <v>6.41</v>
      </c>
      <c r="D5" s="449"/>
      <c r="F5" s="290" t="s">
        <v>1229</v>
      </c>
      <c r="G5" s="142">
        <f>25*5</f>
        <v>125</v>
      </c>
      <c r="H5" s="291"/>
      <c r="J5" s="402" t="s">
        <v>1243</v>
      </c>
      <c r="K5" s="403">
        <v>27</v>
      </c>
      <c r="L5" s="403">
        <f>K5*0.2</f>
        <v>5.4</v>
      </c>
      <c r="M5" s="403"/>
      <c r="N5" s="404">
        <f>G9+G25</f>
        <v>5.4</v>
      </c>
      <c r="P5" s="386" t="s">
        <v>1253</v>
      </c>
      <c r="Q5" s="387" t="s">
        <v>1254</v>
      </c>
      <c r="R5" s="387">
        <v>13</v>
      </c>
      <c r="S5" s="387" t="s">
        <v>1255</v>
      </c>
      <c r="T5" s="387" t="s">
        <v>1256</v>
      </c>
    </row>
    <row r="6" spans="1:26" ht="15.6" x14ac:dyDescent="0.3">
      <c r="A6" s="292" t="s">
        <v>1355</v>
      </c>
      <c r="B6" s="293"/>
      <c r="C6" s="451">
        <f>G39</f>
        <v>18.920000000000002</v>
      </c>
      <c r="D6" s="449"/>
      <c r="F6" s="290" t="s">
        <v>1239</v>
      </c>
      <c r="G6" s="142">
        <f>22*2</f>
        <v>44</v>
      </c>
      <c r="H6" s="291"/>
      <c r="J6" s="405" t="s">
        <v>1244</v>
      </c>
      <c r="K6" s="142">
        <v>15</v>
      </c>
      <c r="L6" s="142">
        <f>K6*0.1</f>
        <v>1.5</v>
      </c>
      <c r="M6" s="142"/>
      <c r="N6" s="406">
        <f>G10+G26</f>
        <v>1.5</v>
      </c>
      <c r="P6" s="386" t="s">
        <v>1257</v>
      </c>
      <c r="Q6" s="387" t="s">
        <v>1258</v>
      </c>
      <c r="R6" s="387">
        <v>24</v>
      </c>
      <c r="S6" s="387">
        <v>16</v>
      </c>
      <c r="T6" s="387" t="s">
        <v>1259</v>
      </c>
    </row>
    <row r="7" spans="1:26" ht="16.2" customHeight="1" thickBot="1" x14ac:dyDescent="0.35">
      <c r="A7" s="292" t="s">
        <v>1356</v>
      </c>
      <c r="B7" s="293"/>
      <c r="C7" s="451">
        <f>G40</f>
        <v>25.259999999999998</v>
      </c>
      <c r="D7" s="449"/>
      <c r="F7" s="290" t="s">
        <v>1230</v>
      </c>
      <c r="G7" s="142">
        <f>24*1</f>
        <v>24</v>
      </c>
      <c r="H7" s="291"/>
      <c r="J7" s="407" t="s">
        <v>1245</v>
      </c>
      <c r="K7" s="408">
        <v>2</v>
      </c>
      <c r="L7" s="408">
        <f>K7*0.05</f>
        <v>0.1</v>
      </c>
      <c r="M7" s="408"/>
      <c r="N7" s="409">
        <f>G27</f>
        <v>0.1</v>
      </c>
      <c r="P7" s="386" t="s">
        <v>1261</v>
      </c>
      <c r="Q7" s="387" t="s">
        <v>1324</v>
      </c>
      <c r="R7" s="387">
        <v>12</v>
      </c>
      <c r="S7" s="388" t="s">
        <v>687</v>
      </c>
      <c r="T7" s="388" t="s">
        <v>687</v>
      </c>
      <c r="U7" s="397" t="s">
        <v>1360</v>
      </c>
    </row>
    <row r="8" spans="1:26" ht="15.6" x14ac:dyDescent="0.3">
      <c r="A8" s="292" t="s">
        <v>1357</v>
      </c>
      <c r="B8" s="293"/>
      <c r="C8" s="451">
        <f>G41</f>
        <v>22.259999999999998</v>
      </c>
      <c r="D8" s="449"/>
      <c r="F8" s="290" t="s">
        <v>1231</v>
      </c>
      <c r="G8" s="142">
        <f>18*0.5</f>
        <v>9</v>
      </c>
      <c r="H8" s="291"/>
      <c r="P8" s="386" t="s">
        <v>1262</v>
      </c>
      <c r="Q8" s="387" t="s">
        <v>1263</v>
      </c>
      <c r="R8" s="387">
        <v>11</v>
      </c>
      <c r="S8" s="387">
        <v>5</v>
      </c>
      <c r="T8" s="387" t="s">
        <v>1264</v>
      </c>
      <c r="U8" s="398" t="s">
        <v>1326</v>
      </c>
    </row>
    <row r="9" spans="1:26" ht="15.6" x14ac:dyDescent="0.3">
      <c r="A9" s="292" t="s">
        <v>1358</v>
      </c>
      <c r="B9" s="293"/>
      <c r="C9" s="451">
        <v>23.9</v>
      </c>
      <c r="D9" s="449"/>
      <c r="F9" s="290" t="s">
        <v>1232</v>
      </c>
      <c r="G9" s="142">
        <f>11*0.2</f>
        <v>2.2000000000000002</v>
      </c>
      <c r="H9" s="291"/>
      <c r="J9" s="142" t="s">
        <v>1364</v>
      </c>
      <c r="K9" s="142">
        <v>2</v>
      </c>
      <c r="L9" s="142">
        <v>50</v>
      </c>
      <c r="M9" s="142">
        <f>2*L9</f>
        <v>100</v>
      </c>
      <c r="P9" s="386" t="s">
        <v>1265</v>
      </c>
      <c r="Q9" s="387" t="s">
        <v>1266</v>
      </c>
      <c r="R9" s="387">
        <v>9</v>
      </c>
      <c r="S9" s="387">
        <v>2</v>
      </c>
      <c r="T9" s="387" t="s">
        <v>1267</v>
      </c>
    </row>
    <row r="10" spans="1:26" ht="15.6" x14ac:dyDescent="0.3">
      <c r="A10" s="292" t="s">
        <v>1376</v>
      </c>
      <c r="B10" s="293"/>
      <c r="C10" s="451">
        <v>42.9</v>
      </c>
      <c r="D10" s="449"/>
      <c r="F10" s="290" t="s">
        <v>1233</v>
      </c>
      <c r="G10" s="142">
        <f>8*0.1</f>
        <v>0.8</v>
      </c>
      <c r="H10" s="291"/>
      <c r="J10" s="142" t="s">
        <v>1365</v>
      </c>
      <c r="K10" s="142">
        <v>13</v>
      </c>
      <c r="L10" s="142">
        <v>20</v>
      </c>
      <c r="M10" s="142">
        <f>13*L10</f>
        <v>260</v>
      </c>
      <c r="P10" s="386" t="s">
        <v>1268</v>
      </c>
      <c r="Q10" s="387" t="s">
        <v>1266</v>
      </c>
      <c r="R10" s="387">
        <v>9</v>
      </c>
      <c r="S10" s="387">
        <v>5</v>
      </c>
      <c r="T10" s="387" t="s">
        <v>1269</v>
      </c>
    </row>
    <row r="11" spans="1:26" ht="15.6" x14ac:dyDescent="0.3">
      <c r="A11" s="292"/>
      <c r="B11" s="293"/>
      <c r="C11" s="294"/>
      <c r="D11" s="449"/>
      <c r="F11" s="290" t="s">
        <v>1234</v>
      </c>
      <c r="G11" s="142">
        <f>2*50</f>
        <v>100</v>
      </c>
      <c r="H11" s="291"/>
      <c r="J11" s="142" t="s">
        <v>1366</v>
      </c>
      <c r="K11" s="142">
        <v>24</v>
      </c>
      <c r="L11" s="142">
        <v>10</v>
      </c>
      <c r="M11" s="142">
        <f>24*L11</f>
        <v>240</v>
      </c>
      <c r="P11" s="386" t="s">
        <v>1272</v>
      </c>
      <c r="Q11" s="387" t="s">
        <v>1273</v>
      </c>
      <c r="R11" s="387">
        <v>40</v>
      </c>
      <c r="S11" s="387">
        <v>37</v>
      </c>
      <c r="T11" s="387">
        <v>3</v>
      </c>
      <c r="U11" s="596" t="s">
        <v>1362</v>
      </c>
    </row>
    <row r="12" spans="1:26" ht="16.2" thickBot="1" x14ac:dyDescent="0.35">
      <c r="A12" s="292"/>
      <c r="B12" s="293"/>
      <c r="C12" s="294"/>
      <c r="D12" s="449"/>
      <c r="F12" s="290" t="s">
        <v>1235</v>
      </c>
      <c r="G12" s="142">
        <f>2*25</f>
        <v>50</v>
      </c>
      <c r="H12" s="291"/>
      <c r="J12" s="320" t="s">
        <v>1367</v>
      </c>
      <c r="K12" s="320">
        <v>38</v>
      </c>
      <c r="L12" s="320">
        <v>5</v>
      </c>
      <c r="M12" s="320">
        <f>38*L12</f>
        <v>190</v>
      </c>
      <c r="P12" s="386" t="s">
        <v>1274</v>
      </c>
      <c r="Q12" s="387" t="s">
        <v>1361</v>
      </c>
      <c r="R12" s="387">
        <v>16</v>
      </c>
      <c r="S12" s="387">
        <v>5</v>
      </c>
      <c r="T12" s="387">
        <v>11</v>
      </c>
      <c r="U12" s="597"/>
      <c r="X12" s="410"/>
      <c r="Z12" s="411"/>
    </row>
    <row r="13" spans="1:26" ht="16.2" thickBot="1" x14ac:dyDescent="0.35">
      <c r="A13" s="292"/>
      <c r="B13" s="293"/>
      <c r="C13" s="294"/>
      <c r="D13" s="449"/>
      <c r="F13" s="290" t="s">
        <v>983</v>
      </c>
      <c r="G13" s="142"/>
      <c r="H13" s="291">
        <v>335</v>
      </c>
      <c r="J13" s="399" t="s">
        <v>537</v>
      </c>
      <c r="K13" s="400"/>
      <c r="L13" s="400"/>
      <c r="M13" s="401">
        <f>SUM(M9:M12)</f>
        <v>790</v>
      </c>
      <c r="P13" s="386" t="s">
        <v>1275</v>
      </c>
      <c r="Q13" s="387" t="s">
        <v>1276</v>
      </c>
      <c r="R13" s="387">
        <v>15</v>
      </c>
      <c r="S13" s="387">
        <v>14</v>
      </c>
      <c r="T13" s="396">
        <v>1</v>
      </c>
      <c r="U13" s="597"/>
      <c r="Z13" s="411"/>
    </row>
    <row r="14" spans="1:26" ht="15.6" x14ac:dyDescent="0.3">
      <c r="A14" s="287" t="s">
        <v>1080</v>
      </c>
      <c r="B14" s="288">
        <f>SUM(B3:B13)</f>
        <v>668.16</v>
      </c>
      <c r="C14" s="297">
        <f>SUM(C3:C13)</f>
        <v>139.65</v>
      </c>
      <c r="D14" s="450"/>
      <c r="F14" s="298"/>
      <c r="G14" s="182">
        <f>SUM(G2:G13)</f>
        <v>821</v>
      </c>
      <c r="H14" s="299">
        <f>SUM(H2:H13)</f>
        <v>335</v>
      </c>
      <c r="P14" s="386" t="s">
        <v>966</v>
      </c>
      <c r="Q14" s="387" t="s">
        <v>1277</v>
      </c>
      <c r="R14" s="387"/>
      <c r="S14" s="387" t="s">
        <v>1278</v>
      </c>
      <c r="T14" s="387" t="s">
        <v>1278</v>
      </c>
    </row>
    <row r="15" spans="1:26" ht="16.2" thickBot="1" x14ac:dyDescent="0.35">
      <c r="A15" s="300" t="s">
        <v>1081</v>
      </c>
      <c r="B15" s="301">
        <f>B14-C14</f>
        <v>528.51</v>
      </c>
      <c r="C15" s="302"/>
      <c r="D15" s="450"/>
      <c r="F15" s="303" t="s">
        <v>912</v>
      </c>
      <c r="G15" s="304">
        <f>G14-H14</f>
        <v>486</v>
      </c>
      <c r="H15" s="305"/>
      <c r="J15" s="394" t="s">
        <v>1370</v>
      </c>
      <c r="K15" s="394"/>
      <c r="P15" s="386" t="s">
        <v>1279</v>
      </c>
      <c r="Q15" s="387" t="s">
        <v>1280</v>
      </c>
      <c r="R15" s="387"/>
      <c r="S15" s="387" t="s">
        <v>1281</v>
      </c>
      <c r="T15" s="387" t="s">
        <v>1282</v>
      </c>
    </row>
    <row r="16" spans="1:26" ht="15.6" thickTop="1" thickBot="1" x14ac:dyDescent="0.35">
      <c r="J16" s="142"/>
      <c r="K16" s="142">
        <v>72</v>
      </c>
      <c r="P16" s="386" t="s">
        <v>1283</v>
      </c>
      <c r="Q16" s="387" t="s">
        <v>1284</v>
      </c>
      <c r="R16" s="387"/>
      <c r="S16" s="387" t="s">
        <v>1285</v>
      </c>
      <c r="T16" s="387" t="s">
        <v>1285</v>
      </c>
    </row>
    <row r="17" spans="1:21" ht="16.2" thickTop="1" x14ac:dyDescent="0.3">
      <c r="A17" s="461" t="s">
        <v>1484</v>
      </c>
      <c r="F17" s="284" t="s">
        <v>1237</v>
      </c>
      <c r="G17" s="285" t="s">
        <v>2</v>
      </c>
      <c r="H17" s="286" t="s">
        <v>982</v>
      </c>
      <c r="J17" s="142"/>
      <c r="K17" s="142">
        <v>36</v>
      </c>
      <c r="P17" s="386" t="s">
        <v>1286</v>
      </c>
      <c r="Q17" s="387" t="s">
        <v>1287</v>
      </c>
      <c r="R17" s="387"/>
      <c r="S17" s="387" t="s">
        <v>1288</v>
      </c>
      <c r="T17" s="387" t="s">
        <v>1288</v>
      </c>
    </row>
    <row r="18" spans="1:21" x14ac:dyDescent="0.3">
      <c r="A18" s="142"/>
      <c r="B18" s="155" t="s">
        <v>93</v>
      </c>
      <c r="C18" s="155" t="s">
        <v>215</v>
      </c>
      <c r="D18" s="155" t="s">
        <v>1389</v>
      </c>
      <c r="F18" s="290" t="s">
        <v>1334</v>
      </c>
      <c r="G18" s="142">
        <f>2*50</f>
        <v>100</v>
      </c>
      <c r="H18" s="291"/>
      <c r="J18" s="142"/>
      <c r="K18" s="142">
        <v>6</v>
      </c>
      <c r="P18" s="386" t="s">
        <v>1289</v>
      </c>
      <c r="Q18" s="387">
        <v>140</v>
      </c>
      <c r="R18" s="387">
        <v>140</v>
      </c>
      <c r="S18" s="387">
        <v>86</v>
      </c>
      <c r="T18" s="387">
        <v>54</v>
      </c>
    </row>
    <row r="19" spans="1:21" x14ac:dyDescent="0.3">
      <c r="A19" s="142" t="s">
        <v>1385</v>
      </c>
      <c r="B19" s="412">
        <v>0.68916666666666659</v>
      </c>
      <c r="C19" s="155">
        <v>1.5</v>
      </c>
      <c r="D19" s="412">
        <v>0.81083333333333341</v>
      </c>
      <c r="F19" s="290" t="s">
        <v>1335</v>
      </c>
      <c r="G19" s="142">
        <f>5*20</f>
        <v>100</v>
      </c>
      <c r="H19" s="291"/>
      <c r="J19" s="142"/>
      <c r="K19" s="142">
        <v>30</v>
      </c>
      <c r="P19" s="386" t="s">
        <v>1290</v>
      </c>
      <c r="Q19" s="387" t="s">
        <v>1291</v>
      </c>
      <c r="R19" s="387"/>
      <c r="S19" s="388" t="s">
        <v>687</v>
      </c>
      <c r="T19" s="388" t="s">
        <v>687</v>
      </c>
    </row>
    <row r="20" spans="1:21" x14ac:dyDescent="0.3">
      <c r="A20" s="142" t="s">
        <v>1386</v>
      </c>
      <c r="B20" s="412">
        <v>0.48041666666666666</v>
      </c>
      <c r="C20" s="155">
        <v>1.5</v>
      </c>
      <c r="D20" s="412">
        <v>1.0195833333333333</v>
      </c>
      <c r="F20" s="290" t="s">
        <v>1336</v>
      </c>
      <c r="G20" s="142">
        <f>9*10</f>
        <v>90</v>
      </c>
      <c r="H20" s="291"/>
      <c r="J20" s="142"/>
      <c r="K20" s="142">
        <v>12</v>
      </c>
      <c r="P20" s="386" t="s">
        <v>1292</v>
      </c>
      <c r="Q20" s="387" t="s">
        <v>1293</v>
      </c>
      <c r="R20" s="387"/>
      <c r="S20" s="387">
        <v>1</v>
      </c>
      <c r="T20" s="387">
        <v>0</v>
      </c>
    </row>
    <row r="21" spans="1:21" x14ac:dyDescent="0.3">
      <c r="A21" s="142" t="s">
        <v>1387</v>
      </c>
      <c r="B21" s="412">
        <v>0.44833333333333331</v>
      </c>
      <c r="C21" s="155">
        <v>1.5</v>
      </c>
      <c r="D21" s="412">
        <v>1.0516666666666667</v>
      </c>
      <c r="F21" s="290" t="s">
        <v>1337</v>
      </c>
      <c r="G21" s="142">
        <f>13*5</f>
        <v>65</v>
      </c>
      <c r="H21" s="291"/>
      <c r="J21" s="142" t="s">
        <v>537</v>
      </c>
      <c r="K21" s="142">
        <f>SUM(K16:K20)</f>
        <v>156</v>
      </c>
      <c r="P21" s="386" t="s">
        <v>1294</v>
      </c>
      <c r="Q21" s="387" t="s">
        <v>1327</v>
      </c>
      <c r="R21" s="387"/>
      <c r="S21" s="387">
        <v>0.2</v>
      </c>
      <c r="T21" s="387">
        <v>0.8</v>
      </c>
    </row>
    <row r="22" spans="1:21" x14ac:dyDescent="0.3">
      <c r="A22" s="142" t="s">
        <v>1388</v>
      </c>
      <c r="B22" s="412">
        <v>0.62333333333333341</v>
      </c>
      <c r="C22" s="155">
        <v>1.5</v>
      </c>
      <c r="D22" s="412">
        <v>0.87666666666666659</v>
      </c>
      <c r="F22" s="290" t="s">
        <v>1338</v>
      </c>
      <c r="G22" s="142">
        <f>39*2</f>
        <v>78</v>
      </c>
      <c r="H22" s="291"/>
      <c r="P22" s="386" t="s">
        <v>1378</v>
      </c>
      <c r="Q22" s="387"/>
      <c r="R22" s="387"/>
      <c r="S22" s="387"/>
      <c r="T22" s="387"/>
    </row>
    <row r="23" spans="1:21" x14ac:dyDescent="0.3">
      <c r="A23" s="142" t="s">
        <v>1390</v>
      </c>
      <c r="B23" s="412">
        <v>0.13416666666666668</v>
      </c>
      <c r="C23" s="155">
        <v>1</v>
      </c>
      <c r="D23" s="412">
        <v>0.86583333333333334</v>
      </c>
      <c r="F23" s="290" t="s">
        <v>1339</v>
      </c>
      <c r="G23" s="142">
        <f>21*1</f>
        <v>21</v>
      </c>
      <c r="H23" s="291"/>
      <c r="L23" s="136"/>
      <c r="M23" s="136"/>
      <c r="N23" s="136"/>
      <c r="P23" s="386" t="s">
        <v>1295</v>
      </c>
      <c r="Q23" s="387" t="s">
        <v>1328</v>
      </c>
      <c r="R23" s="387">
        <v>1</v>
      </c>
      <c r="S23" s="387">
        <v>0</v>
      </c>
      <c r="T23" s="387">
        <v>1</v>
      </c>
      <c r="U23" s="391" t="s">
        <v>1329</v>
      </c>
    </row>
    <row r="24" spans="1:21" x14ac:dyDescent="0.3">
      <c r="A24" s="142" t="s">
        <v>1391</v>
      </c>
      <c r="B24" s="412">
        <v>0.92972972972972967</v>
      </c>
      <c r="C24" s="155">
        <v>2.5</v>
      </c>
      <c r="D24" s="412">
        <v>1.5702702702702704</v>
      </c>
      <c r="F24" s="290" t="s">
        <v>1340</v>
      </c>
      <c r="G24" s="142">
        <f>43*0.5</f>
        <v>21.5</v>
      </c>
      <c r="H24" s="291"/>
      <c r="L24" s="411"/>
      <c r="M24" s="136"/>
      <c r="N24" s="411"/>
      <c r="P24" s="386" t="s">
        <v>1313</v>
      </c>
      <c r="Q24" s="387" t="s">
        <v>1314</v>
      </c>
      <c r="R24" s="387"/>
      <c r="S24" s="388" t="s">
        <v>687</v>
      </c>
      <c r="T24" s="387" t="s">
        <v>1256</v>
      </c>
    </row>
    <row r="25" spans="1:21" x14ac:dyDescent="0.3">
      <c r="A25" s="142" t="s">
        <v>1392</v>
      </c>
      <c r="B25" s="412">
        <v>1.7786666666666666</v>
      </c>
      <c r="C25" s="155">
        <v>2.5</v>
      </c>
      <c r="D25" s="412">
        <v>0.72133333333333338</v>
      </c>
      <c r="F25" s="290" t="s">
        <v>1341</v>
      </c>
      <c r="G25" s="142">
        <f>16*0.2</f>
        <v>3.2</v>
      </c>
      <c r="H25" s="291"/>
      <c r="L25" s="411"/>
      <c r="M25" s="136"/>
      <c r="N25" s="411"/>
      <c r="P25" s="386" t="s">
        <v>1315</v>
      </c>
      <c r="Q25" s="387" t="s">
        <v>1314</v>
      </c>
      <c r="R25" s="387"/>
      <c r="S25" s="388" t="s">
        <v>687</v>
      </c>
      <c r="T25" s="387">
        <v>150</v>
      </c>
    </row>
    <row r="26" spans="1:21" x14ac:dyDescent="0.3">
      <c r="A26" s="397" t="s">
        <v>1482</v>
      </c>
      <c r="B26" s="412">
        <f>(4.7+5.16)/86</f>
        <v>0.11465116279069766</v>
      </c>
      <c r="C26" s="155">
        <v>1.5</v>
      </c>
      <c r="D26" s="412">
        <f>C26-B26</f>
        <v>1.3853488372093024</v>
      </c>
      <c r="F26" s="290" t="s">
        <v>1342</v>
      </c>
      <c r="G26" s="142">
        <f>7*0.1</f>
        <v>0.70000000000000007</v>
      </c>
      <c r="H26" s="291"/>
      <c r="L26" s="411"/>
      <c r="M26" s="136"/>
      <c r="N26" s="411"/>
      <c r="P26" s="386" t="s">
        <v>1316</v>
      </c>
      <c r="Q26" s="387" t="s">
        <v>1314</v>
      </c>
      <c r="R26" s="387"/>
      <c r="S26" s="388" t="s">
        <v>687</v>
      </c>
      <c r="T26" s="387">
        <v>50</v>
      </c>
    </row>
    <row r="27" spans="1:21" x14ac:dyDescent="0.3">
      <c r="F27" s="290" t="s">
        <v>1343</v>
      </c>
      <c r="G27" s="142">
        <f>2*0.05</f>
        <v>0.1</v>
      </c>
      <c r="H27" s="291"/>
      <c r="L27" s="411"/>
      <c r="M27" s="136"/>
      <c r="N27" s="411"/>
      <c r="P27" s="386" t="s">
        <v>1317</v>
      </c>
      <c r="Q27" s="387" t="s">
        <v>1314</v>
      </c>
      <c r="R27" s="387"/>
      <c r="S27" s="388" t="s">
        <v>687</v>
      </c>
      <c r="T27" s="387" t="s">
        <v>1318</v>
      </c>
      <c r="U27" s="391" t="s">
        <v>1363</v>
      </c>
    </row>
    <row r="28" spans="1:21" ht="13.2" customHeight="1" x14ac:dyDescent="0.3">
      <c r="C28" s="142" t="s">
        <v>1483</v>
      </c>
      <c r="D28" s="444">
        <f>AVERAGE(D19:D27)</f>
        <v>1.0376919717682802</v>
      </c>
      <c r="F28" s="290" t="s">
        <v>1344</v>
      </c>
      <c r="G28" s="142">
        <v>20</v>
      </c>
      <c r="H28" s="291"/>
      <c r="L28" s="411"/>
      <c r="M28" s="136"/>
      <c r="N28" s="411"/>
      <c r="P28" s="386" t="s">
        <v>1319</v>
      </c>
      <c r="Q28" s="387" t="s">
        <v>1314</v>
      </c>
      <c r="R28" s="387"/>
      <c r="S28" s="388" t="s">
        <v>687</v>
      </c>
      <c r="T28" s="388" t="s">
        <v>687</v>
      </c>
    </row>
    <row r="29" spans="1:21" x14ac:dyDescent="0.3">
      <c r="F29" s="290" t="s">
        <v>1345</v>
      </c>
      <c r="G29" s="142"/>
      <c r="H29" s="291">
        <v>215</v>
      </c>
      <c r="L29" s="411"/>
      <c r="M29" s="136"/>
      <c r="N29" s="411"/>
      <c r="P29" s="386" t="s">
        <v>1320</v>
      </c>
      <c r="Q29" s="387" t="s">
        <v>1314</v>
      </c>
      <c r="R29" s="387"/>
      <c r="S29" s="388" t="s">
        <v>687</v>
      </c>
      <c r="T29" s="388" t="s">
        <v>687</v>
      </c>
    </row>
    <row r="30" spans="1:21" x14ac:dyDescent="0.3">
      <c r="F30" s="290" t="s">
        <v>1346</v>
      </c>
      <c r="G30" s="142"/>
      <c r="H30" s="291">
        <v>64.09</v>
      </c>
      <c r="L30" s="411"/>
      <c r="M30" s="136"/>
      <c r="N30" s="411"/>
      <c r="P30" s="386" t="s">
        <v>1321</v>
      </c>
      <c r="Q30" s="387" t="s">
        <v>1314</v>
      </c>
      <c r="R30" s="387"/>
      <c r="S30" s="388" t="s">
        <v>687</v>
      </c>
      <c r="T30" s="388" t="s">
        <v>687</v>
      </c>
    </row>
    <row r="31" spans="1:21" x14ac:dyDescent="0.3">
      <c r="F31" s="290" t="s">
        <v>1359</v>
      </c>
      <c r="G31" s="142"/>
      <c r="H31" s="291">
        <v>7.9</v>
      </c>
      <c r="P31" s="386" t="s">
        <v>1322</v>
      </c>
      <c r="Q31" s="387" t="s">
        <v>1314</v>
      </c>
      <c r="R31" s="387"/>
      <c r="S31" s="388" t="s">
        <v>687</v>
      </c>
      <c r="T31" s="388" t="s">
        <v>687</v>
      </c>
    </row>
    <row r="32" spans="1:21" x14ac:dyDescent="0.3">
      <c r="F32" s="290" t="s">
        <v>1377</v>
      </c>
      <c r="G32" s="142"/>
      <c r="H32" s="291">
        <v>30.35</v>
      </c>
    </row>
    <row r="33" spans="6:20" x14ac:dyDescent="0.3">
      <c r="F33" s="298"/>
      <c r="G33" s="182">
        <f>SUM(G18:G29)</f>
        <v>499.5</v>
      </c>
      <c r="H33" s="299">
        <f>SUM(H29:H32)</f>
        <v>317.34000000000003</v>
      </c>
      <c r="P33" s="599" t="s">
        <v>1332</v>
      </c>
      <c r="Q33" s="599"/>
      <c r="R33" s="599"/>
      <c r="S33" s="599"/>
      <c r="T33" s="599"/>
    </row>
    <row r="34" spans="6:20" ht="15" thickBot="1" x14ac:dyDescent="0.35">
      <c r="F34" s="303" t="s">
        <v>1047</v>
      </c>
      <c r="G34" s="304">
        <f>G33-H33</f>
        <v>182.15999999999997</v>
      </c>
      <c r="H34" s="305"/>
      <c r="P34" s="385"/>
      <c r="Q34" s="385" t="s">
        <v>1246</v>
      </c>
      <c r="R34" s="385" t="s">
        <v>1325</v>
      </c>
      <c r="S34" s="385" t="s">
        <v>1247</v>
      </c>
      <c r="T34" s="385" t="s">
        <v>1248</v>
      </c>
    </row>
    <row r="35" spans="6:20" ht="15" thickTop="1" x14ac:dyDescent="0.3">
      <c r="P35" s="386" t="s">
        <v>1260</v>
      </c>
      <c r="Q35" s="387" t="s">
        <v>1323</v>
      </c>
      <c r="R35" s="387"/>
      <c r="S35" s="387">
        <v>2</v>
      </c>
      <c r="T35" s="387">
        <v>1</v>
      </c>
    </row>
    <row r="36" spans="6:20" x14ac:dyDescent="0.3">
      <c r="F36" s="394" t="s">
        <v>1353</v>
      </c>
      <c r="G36" s="394"/>
      <c r="P36" s="386" t="s">
        <v>1270</v>
      </c>
      <c r="Q36" s="387" t="s">
        <v>1271</v>
      </c>
      <c r="R36" s="387"/>
      <c r="S36" s="387">
        <v>1</v>
      </c>
      <c r="T36" s="387">
        <v>0</v>
      </c>
    </row>
    <row r="37" spans="6:20" ht="15.6" x14ac:dyDescent="0.3">
      <c r="F37" s="393" t="s">
        <v>1347</v>
      </c>
      <c r="G37" s="142">
        <f>8.27+8.27+1.61+3.92+3.92+10.69+10.69+1.83+2.29+0.75+1.99+4.7+5.16</f>
        <v>64.09</v>
      </c>
      <c r="P37" s="386" t="s">
        <v>1296</v>
      </c>
      <c r="Q37" s="396" t="s">
        <v>1297</v>
      </c>
      <c r="R37" s="396"/>
      <c r="S37" s="396">
        <v>3</v>
      </c>
      <c r="T37" s="387">
        <v>0</v>
      </c>
    </row>
    <row r="38" spans="6:20" ht="15.6" x14ac:dyDescent="0.3">
      <c r="F38" s="393" t="s">
        <v>1348</v>
      </c>
      <c r="G38" s="142">
        <f>4.92+1.49</f>
        <v>6.41</v>
      </c>
      <c r="P38" s="386" t="s">
        <v>1298</v>
      </c>
      <c r="Q38" s="387" t="s">
        <v>1299</v>
      </c>
      <c r="R38" s="387">
        <v>4</v>
      </c>
      <c r="S38" s="387" t="s">
        <v>1300</v>
      </c>
      <c r="T38" s="387" t="s">
        <v>1301</v>
      </c>
    </row>
    <row r="39" spans="6:20" ht="15.6" x14ac:dyDescent="0.3">
      <c r="F39" s="393" t="s">
        <v>1349</v>
      </c>
      <c r="G39" s="142">
        <f>2.75+2.75+3.65+3.69+2.37+1.92+1.79</f>
        <v>18.920000000000002</v>
      </c>
      <c r="P39" s="386" t="s">
        <v>1302</v>
      </c>
      <c r="Q39" s="387" t="s">
        <v>1330</v>
      </c>
      <c r="R39" s="387"/>
      <c r="S39" s="387" t="s">
        <v>1303</v>
      </c>
      <c r="T39" s="387" t="s">
        <v>1304</v>
      </c>
    </row>
    <row r="40" spans="6:20" ht="15.6" x14ac:dyDescent="0.3">
      <c r="F40" s="393" t="s">
        <v>1350</v>
      </c>
      <c r="G40" s="142">
        <f>3*8.42</f>
        <v>25.259999999999998</v>
      </c>
      <c r="P40" s="386" t="s">
        <v>1305</v>
      </c>
      <c r="Q40" s="387" t="s">
        <v>1306</v>
      </c>
      <c r="R40" s="387">
        <v>2</v>
      </c>
      <c r="S40" s="387">
        <v>2</v>
      </c>
      <c r="T40" s="387">
        <v>0</v>
      </c>
    </row>
    <row r="41" spans="6:20" ht="15.6" x14ac:dyDescent="0.3">
      <c r="F41" s="393" t="s">
        <v>1351</v>
      </c>
      <c r="G41" s="142">
        <f>6*3.71</f>
        <v>22.259999999999998</v>
      </c>
    </row>
    <row r="42" spans="6:20" ht="15.6" x14ac:dyDescent="0.3">
      <c r="F42" s="395" t="s">
        <v>1352</v>
      </c>
      <c r="G42" s="186">
        <f>SUM(G37:G41)</f>
        <v>136.94</v>
      </c>
      <c r="P42" s="599" t="s">
        <v>1333</v>
      </c>
      <c r="Q42" s="599"/>
      <c r="R42" s="599"/>
      <c r="S42" s="599"/>
      <c r="T42" s="599"/>
    </row>
    <row r="43" spans="6:20" x14ac:dyDescent="0.3">
      <c r="P43" s="385"/>
      <c r="Q43" s="385" t="s">
        <v>1246</v>
      </c>
      <c r="R43" s="385" t="s">
        <v>1325</v>
      </c>
      <c r="S43" s="385" t="s">
        <v>1247</v>
      </c>
      <c r="T43" s="385" t="s">
        <v>1248</v>
      </c>
    </row>
    <row r="44" spans="6:20" x14ac:dyDescent="0.3">
      <c r="P44" s="392"/>
      <c r="Q44" s="387" t="s">
        <v>1307</v>
      </c>
      <c r="R44" s="387"/>
      <c r="S44" s="387" t="s">
        <v>1308</v>
      </c>
      <c r="T44" s="387" t="s">
        <v>1308</v>
      </c>
    </row>
    <row r="45" spans="6:20" x14ac:dyDescent="0.3">
      <c r="P45" s="392"/>
      <c r="Q45" s="387" t="s">
        <v>1309</v>
      </c>
      <c r="R45" s="387"/>
      <c r="S45" s="387" t="s">
        <v>1310</v>
      </c>
      <c r="T45" s="387" t="s">
        <v>1310</v>
      </c>
    </row>
    <row r="46" spans="6:20" x14ac:dyDescent="0.3">
      <c r="P46" s="392"/>
      <c r="Q46" s="387" t="s">
        <v>1311</v>
      </c>
      <c r="R46" s="387"/>
      <c r="S46" s="389" t="s">
        <v>1312</v>
      </c>
      <c r="T46" s="389" t="s">
        <v>1312</v>
      </c>
    </row>
  </sheetData>
  <mergeCells count="5">
    <mergeCell ref="U11:U13"/>
    <mergeCell ref="P1:T1"/>
    <mergeCell ref="P33:T33"/>
    <mergeCell ref="P42:T42"/>
    <mergeCell ref="A1:C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7718-5E98-4889-A655-D78699DE2148}">
  <dimension ref="A1:J23"/>
  <sheetViews>
    <sheetView workbookViewId="0">
      <selection activeCell="M21" sqref="M21"/>
    </sheetView>
  </sheetViews>
  <sheetFormatPr baseColWidth="10" defaultRowHeight="14.4" x14ac:dyDescent="0.3"/>
  <cols>
    <col min="1" max="1" width="5.6640625" customWidth="1"/>
    <col min="5" max="5" width="20.77734375" bestFit="1" customWidth="1"/>
  </cols>
  <sheetData>
    <row r="1" spans="1:10" x14ac:dyDescent="0.3">
      <c r="A1" s="246" t="s">
        <v>116</v>
      </c>
      <c r="B1" s="246" t="s">
        <v>1067</v>
      </c>
      <c r="C1" s="246" t="s">
        <v>1068</v>
      </c>
      <c r="D1" s="246" t="s">
        <v>809</v>
      </c>
      <c r="E1" s="246" t="s">
        <v>24</v>
      </c>
      <c r="F1" s="246" t="s">
        <v>25</v>
      </c>
      <c r="G1" s="246" t="s">
        <v>780</v>
      </c>
      <c r="H1" s="246" t="s">
        <v>1069</v>
      </c>
      <c r="I1" s="246" t="s">
        <v>1070</v>
      </c>
      <c r="J1" s="246" t="s">
        <v>1071</v>
      </c>
    </row>
    <row r="2" spans="1:10" x14ac:dyDescent="0.3">
      <c r="A2" s="142">
        <v>1</v>
      </c>
      <c r="B2" s="279" t="s">
        <v>368</v>
      </c>
      <c r="C2" s="280" t="s">
        <v>655</v>
      </c>
      <c r="D2" s="280" t="s">
        <v>306</v>
      </c>
      <c r="E2" s="280" t="s">
        <v>656</v>
      </c>
      <c r="F2" s="280" t="s">
        <v>657</v>
      </c>
      <c r="G2" s="282">
        <v>400</v>
      </c>
      <c r="H2" s="168"/>
      <c r="I2" s="282">
        <v>30</v>
      </c>
      <c r="J2" s="282">
        <v>30</v>
      </c>
    </row>
    <row r="3" spans="1:10" x14ac:dyDescent="0.3">
      <c r="A3" s="142">
        <v>3</v>
      </c>
      <c r="B3" s="279" t="s">
        <v>305</v>
      </c>
      <c r="C3" s="142" t="s">
        <v>144</v>
      </c>
      <c r="D3" s="142" t="s">
        <v>306</v>
      </c>
      <c r="E3" s="142" t="s">
        <v>72</v>
      </c>
      <c r="F3" s="142" t="s">
        <v>46</v>
      </c>
      <c r="G3" s="282">
        <v>400</v>
      </c>
      <c r="H3" s="282">
        <v>30</v>
      </c>
      <c r="I3" s="282">
        <v>30</v>
      </c>
      <c r="J3" s="282">
        <v>30</v>
      </c>
    </row>
    <row r="4" spans="1:10" x14ac:dyDescent="0.3">
      <c r="A4" s="142">
        <v>5</v>
      </c>
      <c r="B4" s="279" t="s">
        <v>368</v>
      </c>
      <c r="C4" s="280" t="s">
        <v>605</v>
      </c>
      <c r="D4" s="280" t="s">
        <v>306</v>
      </c>
      <c r="E4" s="280" t="s">
        <v>606</v>
      </c>
      <c r="F4" s="280" t="s">
        <v>371</v>
      </c>
      <c r="G4" s="282">
        <v>400</v>
      </c>
      <c r="H4" s="168"/>
      <c r="I4" s="282">
        <v>30</v>
      </c>
      <c r="J4" s="282">
        <v>30</v>
      </c>
    </row>
    <row r="5" spans="1:10" x14ac:dyDescent="0.3">
      <c r="A5" s="142">
        <v>9</v>
      </c>
      <c r="B5" s="279" t="s">
        <v>305</v>
      </c>
      <c r="C5" s="280" t="s">
        <v>169</v>
      </c>
      <c r="D5" s="280" t="s">
        <v>337</v>
      </c>
      <c r="E5" s="280" t="s">
        <v>50</v>
      </c>
      <c r="F5" s="280" t="s">
        <v>49</v>
      </c>
      <c r="G5" s="282">
        <v>400</v>
      </c>
      <c r="H5" s="282">
        <v>30</v>
      </c>
      <c r="I5" s="282">
        <v>30</v>
      </c>
      <c r="J5" s="282">
        <v>30</v>
      </c>
    </row>
    <row r="6" spans="1:10" x14ac:dyDescent="0.3">
      <c r="A6" s="142">
        <v>11</v>
      </c>
      <c r="B6" s="279" t="s">
        <v>368</v>
      </c>
      <c r="C6" s="280" t="s">
        <v>621</v>
      </c>
      <c r="D6" s="280" t="s">
        <v>337</v>
      </c>
      <c r="E6" s="280" t="s">
        <v>41</v>
      </c>
      <c r="F6" s="280" t="s">
        <v>622</v>
      </c>
      <c r="G6" s="282">
        <v>400</v>
      </c>
      <c r="H6" s="168"/>
      <c r="I6" s="168"/>
      <c r="J6" s="282">
        <v>30</v>
      </c>
    </row>
    <row r="7" spans="1:10" x14ac:dyDescent="0.3">
      <c r="A7" s="142">
        <v>14</v>
      </c>
      <c r="B7" s="279" t="s">
        <v>368</v>
      </c>
      <c r="C7" s="280" t="s">
        <v>564</v>
      </c>
      <c r="D7" s="280" t="s">
        <v>337</v>
      </c>
      <c r="E7" s="280" t="s">
        <v>565</v>
      </c>
      <c r="F7" s="280" t="s">
        <v>566</v>
      </c>
      <c r="G7" s="282">
        <v>400</v>
      </c>
      <c r="H7" s="282">
        <v>30</v>
      </c>
      <c r="I7" s="282">
        <v>30</v>
      </c>
      <c r="J7" s="282">
        <v>30</v>
      </c>
    </row>
    <row r="8" spans="1:10" x14ac:dyDescent="0.3">
      <c r="A8" s="142">
        <v>15</v>
      </c>
      <c r="B8" s="155" t="s">
        <v>305</v>
      </c>
      <c r="C8" s="142" t="s">
        <v>205</v>
      </c>
      <c r="D8" s="142" t="s">
        <v>337</v>
      </c>
      <c r="E8" s="142" t="s">
        <v>203</v>
      </c>
      <c r="F8" s="142" t="s">
        <v>204</v>
      </c>
      <c r="G8" s="282">
        <v>400</v>
      </c>
      <c r="H8" s="282">
        <v>30</v>
      </c>
      <c r="I8" s="282">
        <v>30</v>
      </c>
      <c r="J8" s="168"/>
    </row>
    <row r="9" spans="1:10" x14ac:dyDescent="0.3">
      <c r="A9" s="142">
        <v>16</v>
      </c>
      <c r="B9" s="279" t="s">
        <v>305</v>
      </c>
      <c r="C9" s="280" t="s">
        <v>136</v>
      </c>
      <c r="D9" s="280" t="s">
        <v>337</v>
      </c>
      <c r="E9" s="280" t="s">
        <v>52</v>
      </c>
      <c r="F9" s="280" t="s">
        <v>48</v>
      </c>
      <c r="G9" s="282">
        <v>400</v>
      </c>
      <c r="H9" s="282">
        <v>30</v>
      </c>
      <c r="I9" s="282">
        <v>30</v>
      </c>
      <c r="J9" s="282">
        <v>30</v>
      </c>
    </row>
    <row r="10" spans="1:10" x14ac:dyDescent="0.3">
      <c r="A10" s="142">
        <v>19</v>
      </c>
      <c r="B10" s="279" t="s">
        <v>305</v>
      </c>
      <c r="C10" s="280" t="s">
        <v>182</v>
      </c>
      <c r="D10" s="280" t="s">
        <v>306</v>
      </c>
      <c r="E10" s="280" t="s">
        <v>177</v>
      </c>
      <c r="F10" s="280" t="s">
        <v>178</v>
      </c>
      <c r="G10" s="155">
        <v>150</v>
      </c>
      <c r="H10" s="168"/>
      <c r="I10" s="168"/>
      <c r="J10" s="168"/>
    </row>
    <row r="11" spans="1:10" x14ac:dyDescent="0.3">
      <c r="A11" s="142">
        <v>20</v>
      </c>
      <c r="B11" s="279" t="s">
        <v>368</v>
      </c>
      <c r="C11" s="280" t="s">
        <v>698</v>
      </c>
      <c r="D11" s="280" t="s">
        <v>306</v>
      </c>
      <c r="E11" s="280" t="s">
        <v>699</v>
      </c>
      <c r="F11" s="280" t="s">
        <v>700</v>
      </c>
      <c r="G11" s="282">
        <v>150</v>
      </c>
      <c r="H11" s="168"/>
      <c r="I11" s="168"/>
      <c r="J11" s="168"/>
    </row>
    <row r="12" spans="1:10" x14ac:dyDescent="0.3">
      <c r="A12" s="142">
        <v>21</v>
      </c>
      <c r="B12" s="283" t="s">
        <v>368</v>
      </c>
      <c r="C12" s="281" t="s">
        <v>406</v>
      </c>
      <c r="D12" s="281" t="s">
        <v>306</v>
      </c>
      <c r="E12" s="281" t="s">
        <v>407</v>
      </c>
      <c r="F12" s="281" t="s">
        <v>408</v>
      </c>
      <c r="G12" s="282">
        <v>400</v>
      </c>
      <c r="H12" s="168"/>
      <c r="I12" s="282">
        <v>30</v>
      </c>
      <c r="J12" s="282">
        <v>30</v>
      </c>
    </row>
    <row r="13" spans="1:10" x14ac:dyDescent="0.3">
      <c r="A13" s="142">
        <v>22</v>
      </c>
      <c r="B13" s="279" t="s">
        <v>368</v>
      </c>
      <c r="C13" s="280" t="s">
        <v>665</v>
      </c>
      <c r="D13" s="280" t="s">
        <v>337</v>
      </c>
      <c r="E13" s="280" t="s">
        <v>407</v>
      </c>
      <c r="F13" s="280" t="s">
        <v>666</v>
      </c>
      <c r="G13" s="282">
        <v>300</v>
      </c>
      <c r="H13" s="168"/>
      <c r="I13" s="282">
        <v>20</v>
      </c>
      <c r="J13" s="282">
        <v>30</v>
      </c>
    </row>
    <row r="14" spans="1:10" x14ac:dyDescent="0.3">
      <c r="A14" s="142">
        <v>25</v>
      </c>
      <c r="B14" s="155" t="s">
        <v>368</v>
      </c>
      <c r="C14" s="142" t="s">
        <v>723</v>
      </c>
      <c r="D14" s="142" t="s">
        <v>306</v>
      </c>
      <c r="E14" s="142" t="s">
        <v>724</v>
      </c>
      <c r="F14" s="142" t="s">
        <v>725</v>
      </c>
      <c r="G14" s="282">
        <v>150</v>
      </c>
      <c r="H14" s="168"/>
      <c r="I14" s="168"/>
      <c r="J14" s="282">
        <v>20</v>
      </c>
    </row>
    <row r="15" spans="1:10" x14ac:dyDescent="0.3">
      <c r="A15" s="142">
        <v>31</v>
      </c>
      <c r="B15" s="279" t="s">
        <v>368</v>
      </c>
      <c r="C15" s="281" t="s">
        <v>383</v>
      </c>
      <c r="D15" s="281" t="s">
        <v>337</v>
      </c>
      <c r="E15" s="281" t="s">
        <v>154</v>
      </c>
      <c r="F15" s="281" t="s">
        <v>83</v>
      </c>
      <c r="G15" s="282">
        <v>200</v>
      </c>
      <c r="H15" s="282">
        <v>20</v>
      </c>
      <c r="I15" s="282">
        <v>20</v>
      </c>
      <c r="J15" s="168"/>
    </row>
    <row r="16" spans="1:10" x14ac:dyDescent="0.3">
      <c r="A16" s="142">
        <v>32</v>
      </c>
      <c r="B16" s="279" t="s">
        <v>368</v>
      </c>
      <c r="C16" s="280" t="s">
        <v>612</v>
      </c>
      <c r="D16" s="280" t="s">
        <v>306</v>
      </c>
      <c r="E16" s="280" t="s">
        <v>613</v>
      </c>
      <c r="F16" s="280" t="s">
        <v>614</v>
      </c>
      <c r="G16" s="282">
        <v>400</v>
      </c>
      <c r="H16" s="168"/>
      <c r="I16" s="282">
        <v>30</v>
      </c>
      <c r="J16" s="282">
        <v>30</v>
      </c>
    </row>
    <row r="17" spans="1:10" x14ac:dyDescent="0.3">
      <c r="A17" s="142">
        <v>33</v>
      </c>
      <c r="B17" s="279" t="s">
        <v>368</v>
      </c>
      <c r="C17" s="280" t="s">
        <v>711</v>
      </c>
      <c r="D17" s="280" t="s">
        <v>306</v>
      </c>
      <c r="E17" s="280" t="s">
        <v>712</v>
      </c>
      <c r="F17" s="280" t="s">
        <v>713</v>
      </c>
      <c r="G17" s="282">
        <v>150</v>
      </c>
      <c r="H17" s="168"/>
      <c r="I17" s="168"/>
      <c r="J17" s="282">
        <v>30</v>
      </c>
    </row>
    <row r="18" spans="1:10" x14ac:dyDescent="0.3">
      <c r="A18" s="142">
        <v>34</v>
      </c>
      <c r="B18" s="155" t="s">
        <v>368</v>
      </c>
      <c r="C18" s="280" t="s">
        <v>798</v>
      </c>
      <c r="D18" s="280" t="s">
        <v>337</v>
      </c>
      <c r="E18" s="280" t="s">
        <v>712</v>
      </c>
      <c r="F18" s="280" t="s">
        <v>799</v>
      </c>
      <c r="G18" s="282">
        <v>150</v>
      </c>
      <c r="H18" s="168"/>
      <c r="I18" s="168"/>
      <c r="J18" s="282">
        <v>30</v>
      </c>
    </row>
    <row r="19" spans="1:10" x14ac:dyDescent="0.3">
      <c r="A19" s="142">
        <v>35</v>
      </c>
      <c r="B19" s="279" t="s">
        <v>368</v>
      </c>
      <c r="C19" s="280" t="s">
        <v>626</v>
      </c>
      <c r="D19" s="280" t="s">
        <v>306</v>
      </c>
      <c r="E19" s="280" t="s">
        <v>627</v>
      </c>
      <c r="F19" s="280" t="s">
        <v>628</v>
      </c>
      <c r="G19" s="282">
        <v>400</v>
      </c>
      <c r="H19" s="168"/>
      <c r="I19" s="282">
        <v>30</v>
      </c>
      <c r="J19" s="282">
        <v>30</v>
      </c>
    </row>
    <row r="20" spans="1:10" x14ac:dyDescent="0.3">
      <c r="A20" s="142">
        <v>36</v>
      </c>
      <c r="B20" s="279" t="s">
        <v>368</v>
      </c>
      <c r="C20" s="280" t="s">
        <v>635</v>
      </c>
      <c r="D20" s="280" t="s">
        <v>306</v>
      </c>
      <c r="E20" s="280" t="s">
        <v>627</v>
      </c>
      <c r="F20" s="280" t="s">
        <v>636</v>
      </c>
      <c r="G20" s="282">
        <v>150</v>
      </c>
      <c r="H20" s="168"/>
      <c r="I20" s="168"/>
      <c r="J20" s="168"/>
    </row>
    <row r="21" spans="1:10" x14ac:dyDescent="0.3">
      <c r="A21" s="142">
        <v>39</v>
      </c>
      <c r="B21" s="155" t="s">
        <v>368</v>
      </c>
      <c r="C21" s="142" t="s">
        <v>730</v>
      </c>
      <c r="D21" s="142" t="s">
        <v>337</v>
      </c>
      <c r="E21" s="142" t="s">
        <v>731</v>
      </c>
      <c r="F21" s="142" t="s">
        <v>189</v>
      </c>
      <c r="G21" s="282">
        <v>150</v>
      </c>
      <c r="H21" s="168"/>
      <c r="I21" s="168"/>
      <c r="J21" s="282">
        <v>30</v>
      </c>
    </row>
    <row r="22" spans="1:10" x14ac:dyDescent="0.3">
      <c r="A22" s="142">
        <v>40</v>
      </c>
      <c r="B22" s="279" t="s">
        <v>368</v>
      </c>
      <c r="C22" s="280" t="s">
        <v>586</v>
      </c>
      <c r="D22" s="280" t="s">
        <v>306</v>
      </c>
      <c r="E22" s="280" t="s">
        <v>587</v>
      </c>
      <c r="F22" s="280" t="s">
        <v>588</v>
      </c>
      <c r="G22" s="282">
        <v>150</v>
      </c>
      <c r="H22" s="168"/>
      <c r="I22" s="168"/>
      <c r="J22" s="282">
        <v>30</v>
      </c>
    </row>
    <row r="23" spans="1:10" x14ac:dyDescent="0.3">
      <c r="H23" s="136">
        <f>SUM(H2:H22)</f>
        <v>170</v>
      </c>
      <c r="I23" s="136">
        <f t="shared" ref="I23:J23" si="0">SUM(I2:I22)</f>
        <v>340</v>
      </c>
      <c r="J23">
        <f t="shared" si="0"/>
        <v>470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225E1-E20D-4644-8484-1B8F21EAF8B9}">
  <dimension ref="A1:E25"/>
  <sheetViews>
    <sheetView topLeftCell="A5" zoomScale="115" zoomScaleNormal="115" workbookViewId="0">
      <selection activeCell="H23" sqref="H23"/>
    </sheetView>
  </sheetViews>
  <sheetFormatPr baseColWidth="10" defaultRowHeight="14.4" x14ac:dyDescent="0.3"/>
  <cols>
    <col min="2" max="2" width="51.6640625" customWidth="1"/>
  </cols>
  <sheetData>
    <row r="1" spans="1:5" ht="24.6" x14ac:dyDescent="0.4">
      <c r="A1" s="491" t="s">
        <v>1552</v>
      </c>
      <c r="B1" s="492"/>
      <c r="C1" s="492"/>
      <c r="D1" s="492"/>
    </row>
    <row r="2" spans="1:5" ht="21" x14ac:dyDescent="0.4">
      <c r="A2" s="493" t="s">
        <v>895</v>
      </c>
      <c r="B2" s="492"/>
      <c r="C2" s="492"/>
      <c r="D2" s="492"/>
    </row>
    <row r="3" spans="1:5" ht="21" x14ac:dyDescent="0.4">
      <c r="A3" s="493" t="s">
        <v>1553</v>
      </c>
      <c r="B3" s="492"/>
      <c r="C3" s="492"/>
      <c r="D3" s="492"/>
    </row>
    <row r="4" spans="1:5" ht="15.6" x14ac:dyDescent="0.3">
      <c r="A4" s="492"/>
      <c r="B4" s="494" t="s">
        <v>1554</v>
      </c>
      <c r="C4" s="494" t="s">
        <v>1555</v>
      </c>
      <c r="D4" s="492"/>
    </row>
    <row r="5" spans="1:5" ht="15.6" x14ac:dyDescent="0.3">
      <c r="A5" s="495" t="s">
        <v>1556</v>
      </c>
      <c r="B5" s="492"/>
      <c r="C5" s="492"/>
      <c r="D5" s="492"/>
    </row>
    <row r="6" spans="1:5" x14ac:dyDescent="0.3">
      <c r="A6" s="496" t="s">
        <v>5</v>
      </c>
      <c r="B6" s="497" t="s">
        <v>7</v>
      </c>
      <c r="C6" s="496" t="s">
        <v>20</v>
      </c>
      <c r="D6" s="496" t="s">
        <v>21</v>
      </c>
    </row>
    <row r="7" spans="1:5" ht="21.6" x14ac:dyDescent="0.3">
      <c r="A7" s="498">
        <v>45894</v>
      </c>
      <c r="B7" s="499" t="s">
        <v>1557</v>
      </c>
      <c r="C7" s="500">
        <v>241.87</v>
      </c>
      <c r="D7" s="500"/>
    </row>
    <row r="8" spans="1:5" ht="21.6" x14ac:dyDescent="0.3">
      <c r="A8" s="498">
        <v>45891</v>
      </c>
      <c r="B8" s="499" t="s">
        <v>1558</v>
      </c>
      <c r="C8" s="500">
        <v>60.47</v>
      </c>
      <c r="D8" s="500"/>
    </row>
    <row r="9" spans="1:5" ht="62.4" x14ac:dyDescent="0.3">
      <c r="A9" s="498">
        <v>45887</v>
      </c>
      <c r="B9" s="499" t="s">
        <v>1559</v>
      </c>
      <c r="C9" s="500">
        <v>119</v>
      </c>
      <c r="D9" s="500"/>
    </row>
    <row r="10" spans="1:5" ht="21.6" x14ac:dyDescent="0.3">
      <c r="A10" s="498">
        <v>45873</v>
      </c>
      <c r="B10" s="499" t="s">
        <v>1560</v>
      </c>
      <c r="C10" s="500">
        <v>50</v>
      </c>
      <c r="D10" s="500"/>
    </row>
    <row r="11" spans="1:5" ht="21.6" x14ac:dyDescent="0.3">
      <c r="A11" s="498">
        <v>45873</v>
      </c>
      <c r="B11" s="499" t="s">
        <v>1561</v>
      </c>
      <c r="C11" s="500">
        <v>32</v>
      </c>
      <c r="D11" s="500"/>
    </row>
    <row r="14" spans="1:5" ht="24.6" x14ac:dyDescent="0.4">
      <c r="A14" s="506" t="s">
        <v>1552</v>
      </c>
      <c r="B14" s="507"/>
      <c r="C14" s="507"/>
      <c r="D14" s="507"/>
      <c r="E14" s="510"/>
    </row>
    <row r="15" spans="1:5" ht="21" x14ac:dyDescent="0.4">
      <c r="A15" s="508" t="s">
        <v>895</v>
      </c>
      <c r="B15" s="507"/>
      <c r="C15" s="507"/>
      <c r="D15" s="507"/>
      <c r="E15" s="510"/>
    </row>
    <row r="16" spans="1:5" ht="21" x14ac:dyDescent="0.4">
      <c r="A16" s="508" t="s">
        <v>896</v>
      </c>
      <c r="B16" s="507"/>
      <c r="C16" s="507"/>
      <c r="D16" s="507"/>
      <c r="E16" s="510"/>
    </row>
    <row r="17" spans="1:5" ht="15.6" x14ac:dyDescent="0.3">
      <c r="A17" s="507"/>
      <c r="B17" s="509" t="s">
        <v>1554</v>
      </c>
      <c r="C17" s="509" t="s">
        <v>1562</v>
      </c>
      <c r="D17" s="510"/>
      <c r="E17" s="502">
        <v>9114.74</v>
      </c>
    </row>
    <row r="18" spans="1:5" ht="15.6" x14ac:dyDescent="0.3">
      <c r="A18" s="511" t="s">
        <v>1563</v>
      </c>
      <c r="B18" s="507"/>
      <c r="C18" s="507"/>
      <c r="D18" s="507"/>
      <c r="E18" s="186"/>
    </row>
    <row r="19" spans="1:5" x14ac:dyDescent="0.3">
      <c r="A19" s="512" t="s">
        <v>5</v>
      </c>
      <c r="B19" s="513" t="s">
        <v>7</v>
      </c>
      <c r="C19" s="512" t="s">
        <v>20</v>
      </c>
      <c r="D19" s="514" t="s">
        <v>21</v>
      </c>
      <c r="E19" s="503" t="s">
        <v>10</v>
      </c>
    </row>
    <row r="20" spans="1:5" ht="21.6" x14ac:dyDescent="0.3">
      <c r="A20" s="515">
        <v>45743</v>
      </c>
      <c r="B20" s="516" t="s">
        <v>1564</v>
      </c>
      <c r="C20" s="517">
        <v>1000</v>
      </c>
      <c r="D20" s="518"/>
      <c r="E20" s="504">
        <f t="shared" ref="E20:E22" si="0">E21+D20-C20</f>
        <v>9114.739999999998</v>
      </c>
    </row>
    <row r="21" spans="1:5" ht="21.6" x14ac:dyDescent="0.3">
      <c r="A21" s="515">
        <v>45664</v>
      </c>
      <c r="B21" s="516" t="s">
        <v>1564</v>
      </c>
      <c r="C21" s="517">
        <v>1000</v>
      </c>
      <c r="D21" s="518"/>
      <c r="E21" s="504">
        <f t="shared" si="0"/>
        <v>10114.739999999998</v>
      </c>
    </row>
    <row r="22" spans="1:5" ht="21.6" x14ac:dyDescent="0.3">
      <c r="A22" s="515">
        <v>45657</v>
      </c>
      <c r="B22" s="516" t="s">
        <v>897</v>
      </c>
      <c r="C22" s="517"/>
      <c r="D22" s="518">
        <v>168.39</v>
      </c>
      <c r="E22" s="504">
        <f t="shared" si="0"/>
        <v>11114.739999999998</v>
      </c>
    </row>
    <row r="23" spans="1:5" ht="31.8" x14ac:dyDescent="0.3">
      <c r="A23" s="515">
        <v>45627</v>
      </c>
      <c r="B23" s="516" t="s">
        <v>1565</v>
      </c>
      <c r="C23" s="517"/>
      <c r="D23" s="518">
        <v>4000</v>
      </c>
      <c r="E23" s="504">
        <f>E24+D23-C23</f>
        <v>10946.349999999999</v>
      </c>
    </row>
    <row r="24" spans="1:5" x14ac:dyDescent="0.3">
      <c r="A24" s="82"/>
      <c r="B24" s="505" t="s">
        <v>1566</v>
      </c>
      <c r="C24" s="504">
        <f>SUM(C20:C23)</f>
        <v>2000</v>
      </c>
      <c r="D24" s="504">
        <f>SUM(D20:D23)</f>
        <v>4168.3900000000003</v>
      </c>
      <c r="E24" s="504">
        <f>E17+C24-D24</f>
        <v>6946.3499999999995</v>
      </c>
    </row>
    <row r="25" spans="1:5" x14ac:dyDescent="0.3">
      <c r="B25" s="50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1FEC4-9DA0-4946-A28D-BE019D023D02}">
  <sheetPr filterMode="1"/>
  <dimension ref="A1:AZ62"/>
  <sheetViews>
    <sheetView zoomScale="70" zoomScaleNormal="70" workbookViewId="0">
      <selection activeCell="AD50" sqref="AD50"/>
    </sheetView>
  </sheetViews>
  <sheetFormatPr baseColWidth="10" defaultRowHeight="14.4" x14ac:dyDescent="0.3"/>
  <cols>
    <col min="1" max="1" width="6" customWidth="1"/>
    <col min="2" max="2" width="17.44140625" customWidth="1"/>
    <col min="4" max="4" width="26.77734375" bestFit="1" customWidth="1"/>
    <col min="6" max="6" width="12.44140625" customWidth="1"/>
    <col min="7" max="7" width="30.88671875" customWidth="1"/>
    <col min="8" max="8" width="19" customWidth="1"/>
    <col min="9" max="9" width="12.77734375" customWidth="1"/>
    <col min="10" max="19" width="11.5546875" style="2" customWidth="1"/>
    <col min="20" max="20" width="11.5546875" style="136" customWidth="1"/>
    <col min="21" max="21" width="11.5546875" style="2" customWidth="1"/>
    <col min="22" max="24" width="11.5546875" style="136" customWidth="1"/>
    <col min="25" max="26" width="11.5546875" style="136"/>
  </cols>
  <sheetData>
    <row r="1" spans="1:27" x14ac:dyDescent="0.3">
      <c r="B1" s="142" t="s">
        <v>245</v>
      </c>
      <c r="C1" s="142" t="s">
        <v>246</v>
      </c>
      <c r="D1" s="142" t="s">
        <v>24</v>
      </c>
      <c r="E1" s="142" t="s">
        <v>25</v>
      </c>
      <c r="F1" s="142" t="s">
        <v>247</v>
      </c>
      <c r="G1" s="142" t="s">
        <v>257</v>
      </c>
      <c r="H1" s="142" t="s">
        <v>265</v>
      </c>
      <c r="I1" s="142" t="s">
        <v>266</v>
      </c>
      <c r="J1" s="143" t="s">
        <v>534</v>
      </c>
      <c r="K1" s="143" t="s">
        <v>438</v>
      </c>
      <c r="L1" s="143" t="s">
        <v>535</v>
      </c>
      <c r="M1" s="143" t="s">
        <v>536</v>
      </c>
      <c r="N1" s="143" t="s">
        <v>537</v>
      </c>
      <c r="O1" s="144" t="s">
        <v>538</v>
      </c>
      <c r="P1" s="144"/>
      <c r="Q1" s="144"/>
      <c r="R1" s="144" t="s">
        <v>539</v>
      </c>
      <c r="S1" s="144" t="s">
        <v>540</v>
      </c>
      <c r="T1" s="144" t="s">
        <v>541</v>
      </c>
      <c r="U1" s="145" t="s">
        <v>542</v>
      </c>
      <c r="V1" s="144" t="s">
        <v>579</v>
      </c>
      <c r="W1" s="144" t="s">
        <v>778</v>
      </c>
      <c r="X1" s="144" t="s">
        <v>779</v>
      </c>
      <c r="Y1" s="144" t="s">
        <v>780</v>
      </c>
      <c r="Z1" s="144" t="s">
        <v>760</v>
      </c>
    </row>
    <row r="2" spans="1:27" ht="15.6" x14ac:dyDescent="0.3">
      <c r="A2">
        <v>1</v>
      </c>
      <c r="B2" s="154" t="s">
        <v>655</v>
      </c>
      <c r="C2" s="154" t="s">
        <v>306</v>
      </c>
      <c r="D2" s="154" t="s">
        <v>656</v>
      </c>
      <c r="E2" s="154" t="s">
        <v>657</v>
      </c>
      <c r="F2" s="154" t="s">
        <v>658</v>
      </c>
      <c r="G2" s="154" t="s">
        <v>316</v>
      </c>
      <c r="H2" s="154" t="s">
        <v>356</v>
      </c>
      <c r="I2" s="154" t="s">
        <v>357</v>
      </c>
      <c r="J2" s="148">
        <v>75</v>
      </c>
      <c r="K2" s="143">
        <v>110</v>
      </c>
      <c r="L2" s="148">
        <v>25</v>
      </c>
      <c r="M2" s="148" t="s">
        <v>689</v>
      </c>
      <c r="N2" s="148">
        <f t="shared" ref="N2:N41" si="0">SUM(J2:L2)</f>
        <v>210</v>
      </c>
      <c r="O2" s="162"/>
      <c r="P2" s="162"/>
      <c r="Q2" s="162"/>
      <c r="R2" s="180">
        <v>210</v>
      </c>
      <c r="S2" s="162"/>
      <c r="T2" s="162"/>
      <c r="U2" s="145">
        <f t="shared" ref="U2:U41" si="1">((SUM(O2:T2))-N2)</f>
        <v>0</v>
      </c>
      <c r="V2" s="163"/>
      <c r="W2" s="163">
        <v>30</v>
      </c>
      <c r="X2" s="163">
        <v>30</v>
      </c>
      <c r="Y2" s="163">
        <v>400</v>
      </c>
      <c r="Z2" s="155">
        <v>32</v>
      </c>
    </row>
    <row r="3" spans="1:27" hidden="1" x14ac:dyDescent="0.3">
      <c r="A3">
        <v>2</v>
      </c>
      <c r="B3" s="142" t="s">
        <v>118</v>
      </c>
      <c r="C3" s="142" t="s">
        <v>337</v>
      </c>
      <c r="D3" s="142" t="s">
        <v>207</v>
      </c>
      <c r="E3" s="142" t="s">
        <v>413</v>
      </c>
      <c r="F3" s="142" t="s">
        <v>414</v>
      </c>
      <c r="G3" s="142" t="s">
        <v>316</v>
      </c>
      <c r="H3" s="142" t="s">
        <v>356</v>
      </c>
      <c r="I3" s="142" t="s">
        <v>357</v>
      </c>
      <c r="J3" s="148">
        <v>75</v>
      </c>
      <c r="K3" s="143">
        <v>110</v>
      </c>
      <c r="L3" s="148">
        <v>0</v>
      </c>
      <c r="M3" s="148"/>
      <c r="N3" s="148">
        <f t="shared" si="0"/>
        <v>185</v>
      </c>
      <c r="O3" s="149"/>
      <c r="P3" s="149"/>
      <c r="Q3" s="149"/>
      <c r="R3" s="149">
        <v>185</v>
      </c>
      <c r="S3" s="149"/>
      <c r="T3" s="149"/>
      <c r="U3" s="145">
        <f t="shared" si="1"/>
        <v>0</v>
      </c>
      <c r="V3" s="155"/>
      <c r="W3" s="155"/>
      <c r="X3" s="155"/>
      <c r="Y3" s="177"/>
      <c r="Z3" s="177"/>
    </row>
    <row r="4" spans="1:27" ht="15.6" x14ac:dyDescent="0.3">
      <c r="A4">
        <v>3</v>
      </c>
      <c r="B4" s="142" t="s">
        <v>144</v>
      </c>
      <c r="C4" s="142" t="s">
        <v>306</v>
      </c>
      <c r="D4" s="142" t="s">
        <v>72</v>
      </c>
      <c r="E4" s="142" t="s">
        <v>46</v>
      </c>
      <c r="F4" s="142" t="s">
        <v>420</v>
      </c>
      <c r="G4" s="142" t="s">
        <v>388</v>
      </c>
      <c r="H4" s="142" t="s">
        <v>399</v>
      </c>
      <c r="I4" s="142" t="s">
        <v>399</v>
      </c>
      <c r="J4" s="148">
        <v>46</v>
      </c>
      <c r="K4" s="143">
        <v>110</v>
      </c>
      <c r="L4" s="148">
        <v>0</v>
      </c>
      <c r="M4" s="148"/>
      <c r="N4" s="148">
        <f t="shared" si="0"/>
        <v>156</v>
      </c>
      <c r="O4" s="149">
        <v>156</v>
      </c>
      <c r="P4" s="149"/>
      <c r="Q4" s="149"/>
      <c r="R4" s="149"/>
      <c r="S4" s="149"/>
      <c r="T4" s="149"/>
      <c r="U4" s="145">
        <f t="shared" si="1"/>
        <v>0</v>
      </c>
      <c r="V4" s="155">
        <v>30</v>
      </c>
      <c r="W4" s="163">
        <v>30</v>
      </c>
      <c r="X4" s="155">
        <v>30</v>
      </c>
      <c r="Y4" s="155">
        <v>400</v>
      </c>
      <c r="Z4" s="177"/>
    </row>
    <row r="5" spans="1:27" hidden="1" x14ac:dyDescent="0.3">
      <c r="A5">
        <v>4</v>
      </c>
      <c r="B5" s="142" t="s">
        <v>164</v>
      </c>
      <c r="C5" s="142" t="s">
        <v>337</v>
      </c>
      <c r="D5" s="142" t="s">
        <v>73</v>
      </c>
      <c r="E5" s="142" t="s">
        <v>74</v>
      </c>
      <c r="F5" s="142" t="s">
        <v>432</v>
      </c>
      <c r="G5" s="142" t="s">
        <v>316</v>
      </c>
      <c r="H5" s="142" t="s">
        <v>320</v>
      </c>
      <c r="I5" s="142" t="s">
        <v>321</v>
      </c>
      <c r="J5" s="148">
        <v>75</v>
      </c>
      <c r="K5" s="143">
        <v>88</v>
      </c>
      <c r="L5" s="148">
        <v>0</v>
      </c>
      <c r="M5" s="148"/>
      <c r="N5" s="148">
        <f t="shared" si="0"/>
        <v>163</v>
      </c>
      <c r="O5" s="149"/>
      <c r="P5" s="149"/>
      <c r="Q5" s="149"/>
      <c r="R5" s="149">
        <v>163</v>
      </c>
      <c r="S5" s="149"/>
      <c r="T5" s="149"/>
      <c r="U5" s="145">
        <f t="shared" si="1"/>
        <v>0</v>
      </c>
      <c r="V5" s="155"/>
      <c r="W5" s="155"/>
      <c r="X5" s="155"/>
      <c r="Y5" s="177"/>
      <c r="Z5" s="177"/>
    </row>
    <row r="6" spans="1:27" ht="15.6" x14ac:dyDescent="0.3">
      <c r="A6">
        <v>5</v>
      </c>
      <c r="B6" s="154" t="s">
        <v>605</v>
      </c>
      <c r="C6" s="154" t="s">
        <v>306</v>
      </c>
      <c r="D6" s="154" t="s">
        <v>606</v>
      </c>
      <c r="E6" s="154" t="s">
        <v>371</v>
      </c>
      <c r="F6" s="154" t="s">
        <v>607</v>
      </c>
      <c r="G6" s="154" t="s">
        <v>316</v>
      </c>
      <c r="H6" s="154" t="s">
        <v>347</v>
      </c>
      <c r="I6" s="154" t="s">
        <v>348</v>
      </c>
      <c r="J6" s="148">
        <v>75</v>
      </c>
      <c r="K6" s="143">
        <v>110</v>
      </c>
      <c r="L6" s="148">
        <v>25</v>
      </c>
      <c r="M6" s="148" t="s">
        <v>578</v>
      </c>
      <c r="N6" s="148">
        <f t="shared" si="0"/>
        <v>210</v>
      </c>
      <c r="O6" s="161">
        <v>110</v>
      </c>
      <c r="P6" s="161">
        <v>100</v>
      </c>
      <c r="Q6" s="161"/>
      <c r="R6" s="146"/>
      <c r="S6" s="161"/>
      <c r="T6" s="161"/>
      <c r="U6" s="145">
        <f t="shared" si="1"/>
        <v>0</v>
      </c>
      <c r="V6" s="155"/>
      <c r="W6" s="163">
        <v>30</v>
      </c>
      <c r="X6" s="155">
        <v>30</v>
      </c>
      <c r="Y6" s="155">
        <v>400</v>
      </c>
      <c r="Z6" s="155">
        <v>32</v>
      </c>
    </row>
    <row r="7" spans="1:27" hidden="1" x14ac:dyDescent="0.3">
      <c r="A7">
        <v>6</v>
      </c>
      <c r="B7" s="147" t="s">
        <v>124</v>
      </c>
      <c r="C7" s="147" t="s">
        <v>306</v>
      </c>
      <c r="D7" s="147" t="s">
        <v>107</v>
      </c>
      <c r="E7" s="147" t="s">
        <v>108</v>
      </c>
      <c r="F7" s="147" t="s">
        <v>402</v>
      </c>
      <c r="G7" s="147" t="s">
        <v>316</v>
      </c>
      <c r="H7" s="147" t="s">
        <v>356</v>
      </c>
      <c r="I7" s="147" t="s">
        <v>357</v>
      </c>
      <c r="J7" s="143">
        <v>75</v>
      </c>
      <c r="K7" s="143">
        <v>110</v>
      </c>
      <c r="L7" s="143">
        <v>0</v>
      </c>
      <c r="M7" s="143"/>
      <c r="N7" s="143">
        <f t="shared" si="0"/>
        <v>185</v>
      </c>
      <c r="O7" s="144"/>
      <c r="P7" s="144"/>
      <c r="Q7" s="144"/>
      <c r="R7" s="144">
        <v>185</v>
      </c>
      <c r="S7" s="144"/>
      <c r="T7" s="146"/>
      <c r="U7" s="145">
        <f t="shared" si="1"/>
        <v>0</v>
      </c>
      <c r="V7" s="155"/>
      <c r="W7" s="155"/>
      <c r="X7" s="155"/>
      <c r="Y7" s="177"/>
      <c r="Z7" s="168"/>
    </row>
    <row r="8" spans="1:27" hidden="1" x14ac:dyDescent="0.3">
      <c r="A8">
        <v>7</v>
      </c>
      <c r="B8" s="147" t="s">
        <v>122</v>
      </c>
      <c r="C8" s="147" t="s">
        <v>306</v>
      </c>
      <c r="D8" s="147" t="s">
        <v>117</v>
      </c>
      <c r="E8" s="147" t="s">
        <v>76</v>
      </c>
      <c r="F8" s="147" t="s">
        <v>165</v>
      </c>
      <c r="G8" s="147" t="s">
        <v>388</v>
      </c>
      <c r="H8" s="147" t="s">
        <v>399</v>
      </c>
      <c r="I8" s="147" t="s">
        <v>399</v>
      </c>
      <c r="J8" s="143">
        <v>46</v>
      </c>
      <c r="K8" s="143">
        <v>110</v>
      </c>
      <c r="L8" s="143">
        <v>0</v>
      </c>
      <c r="M8" s="143"/>
      <c r="N8" s="143">
        <f t="shared" si="0"/>
        <v>156</v>
      </c>
      <c r="O8" s="144">
        <v>56</v>
      </c>
      <c r="P8" s="144">
        <v>50</v>
      </c>
      <c r="Q8" s="144"/>
      <c r="R8" s="144"/>
      <c r="S8" s="144"/>
      <c r="T8" s="146">
        <v>50</v>
      </c>
      <c r="U8" s="145">
        <f t="shared" si="1"/>
        <v>0</v>
      </c>
      <c r="V8" s="155"/>
      <c r="W8" s="155"/>
      <c r="X8" s="155"/>
      <c r="Y8" s="177"/>
      <c r="Z8" s="168"/>
    </row>
    <row r="9" spans="1:27" ht="15.6" hidden="1" x14ac:dyDescent="0.3">
      <c r="A9">
        <v>8</v>
      </c>
      <c r="B9" s="154" t="s">
        <v>201</v>
      </c>
      <c r="C9" s="154" t="s">
        <v>306</v>
      </c>
      <c r="D9" s="154" t="s">
        <v>444</v>
      </c>
      <c r="E9" s="154" t="s">
        <v>202</v>
      </c>
      <c r="F9" s="154" t="s">
        <v>446</v>
      </c>
      <c r="G9" s="154" t="s">
        <v>378</v>
      </c>
      <c r="H9" s="154" t="s">
        <v>347</v>
      </c>
      <c r="I9" s="154" t="s">
        <v>348</v>
      </c>
      <c r="J9" s="148">
        <v>67</v>
      </c>
      <c r="K9" s="143">
        <v>110</v>
      </c>
      <c r="L9" s="148">
        <v>0</v>
      </c>
      <c r="M9" s="148"/>
      <c r="N9" s="148">
        <f t="shared" si="0"/>
        <v>177</v>
      </c>
      <c r="O9" s="149">
        <v>177</v>
      </c>
      <c r="P9" s="149"/>
      <c r="Q9" s="149"/>
      <c r="R9" s="149"/>
      <c r="S9" s="149"/>
      <c r="T9" s="149"/>
      <c r="U9" s="145">
        <f t="shared" si="1"/>
        <v>0</v>
      </c>
      <c r="V9" s="155"/>
      <c r="W9" s="155"/>
      <c r="X9" s="155"/>
      <c r="Y9" s="177"/>
      <c r="Z9" s="168"/>
    </row>
    <row r="10" spans="1:27" ht="15.6" x14ac:dyDescent="0.3">
      <c r="A10">
        <v>9</v>
      </c>
      <c r="B10" s="154" t="s">
        <v>169</v>
      </c>
      <c r="C10" s="241" t="s">
        <v>891</v>
      </c>
      <c r="D10" s="154" t="s">
        <v>50</v>
      </c>
      <c r="E10" s="154" t="s">
        <v>49</v>
      </c>
      <c r="F10" s="154" t="s">
        <v>449</v>
      </c>
      <c r="G10" s="154" t="s">
        <v>388</v>
      </c>
      <c r="H10" s="154" t="s">
        <v>399</v>
      </c>
      <c r="I10" s="154" t="s">
        <v>399</v>
      </c>
      <c r="J10" s="148">
        <v>46</v>
      </c>
      <c r="K10" s="143">
        <v>88</v>
      </c>
      <c r="L10" s="148">
        <v>0</v>
      </c>
      <c r="M10" s="148"/>
      <c r="N10" s="148">
        <f t="shared" si="0"/>
        <v>134</v>
      </c>
      <c r="O10" s="149">
        <v>134</v>
      </c>
      <c r="P10" s="149"/>
      <c r="Q10" s="149"/>
      <c r="R10" s="149"/>
      <c r="S10" s="149"/>
      <c r="T10" s="149"/>
      <c r="U10" s="145">
        <f t="shared" si="1"/>
        <v>0</v>
      </c>
      <c r="V10" s="155">
        <v>30</v>
      </c>
      <c r="W10" s="163">
        <v>30</v>
      </c>
      <c r="X10" s="155">
        <v>30</v>
      </c>
      <c r="Y10" s="155">
        <v>400</v>
      </c>
      <c r="Z10" s="168"/>
    </row>
    <row r="11" spans="1:27" hidden="1" x14ac:dyDescent="0.3">
      <c r="A11">
        <v>10</v>
      </c>
      <c r="B11" s="142" t="s">
        <v>133</v>
      </c>
      <c r="C11" s="142" t="s">
        <v>306</v>
      </c>
      <c r="D11" s="142" t="s">
        <v>41</v>
      </c>
      <c r="E11" s="142" t="s">
        <v>40</v>
      </c>
      <c r="F11" s="142" t="s">
        <v>307</v>
      </c>
      <c r="G11" s="142" t="s">
        <v>316</v>
      </c>
      <c r="H11" s="142" t="s">
        <v>320</v>
      </c>
      <c r="I11" s="142" t="s">
        <v>321</v>
      </c>
      <c r="J11" s="143">
        <v>75</v>
      </c>
      <c r="K11" s="143">
        <v>110</v>
      </c>
      <c r="L11" s="143">
        <v>0</v>
      </c>
      <c r="M11" s="143"/>
      <c r="N11" s="143">
        <f t="shared" si="0"/>
        <v>185</v>
      </c>
      <c r="O11" s="144">
        <v>185</v>
      </c>
      <c r="P11" s="144"/>
      <c r="Q11" s="144"/>
      <c r="R11" s="144"/>
      <c r="S11" s="144"/>
      <c r="T11" s="146"/>
      <c r="U11" s="145">
        <f t="shared" si="1"/>
        <v>0</v>
      </c>
      <c r="V11" s="155"/>
      <c r="W11" s="155"/>
      <c r="X11" s="155"/>
      <c r="Y11" s="177"/>
      <c r="Z11" s="168"/>
    </row>
    <row r="12" spans="1:27" ht="15.6" x14ac:dyDescent="0.3">
      <c r="A12">
        <v>11</v>
      </c>
      <c r="B12" s="154" t="s">
        <v>621</v>
      </c>
      <c r="C12" s="154" t="s">
        <v>337</v>
      </c>
      <c r="D12" s="154" t="s">
        <v>41</v>
      </c>
      <c r="E12" s="154" t="s">
        <v>776</v>
      </c>
      <c r="F12" s="154" t="s">
        <v>623</v>
      </c>
      <c r="G12" s="154" t="s">
        <v>378</v>
      </c>
      <c r="H12" s="154" t="s">
        <v>347</v>
      </c>
      <c r="I12" s="154" t="s">
        <v>348</v>
      </c>
      <c r="J12" s="148">
        <v>67</v>
      </c>
      <c r="K12" s="143">
        <v>88</v>
      </c>
      <c r="L12" s="148">
        <v>0</v>
      </c>
      <c r="M12" s="148"/>
      <c r="N12" s="148">
        <f t="shared" si="0"/>
        <v>155</v>
      </c>
      <c r="O12" s="161">
        <v>78</v>
      </c>
      <c r="P12" s="161">
        <v>77</v>
      </c>
      <c r="Q12" s="161"/>
      <c r="R12" s="146"/>
      <c r="S12" s="161"/>
      <c r="T12" s="161"/>
      <c r="U12" s="145">
        <f t="shared" si="1"/>
        <v>0</v>
      </c>
      <c r="V12" s="155"/>
      <c r="W12" s="163"/>
      <c r="X12" s="384">
        <v>30</v>
      </c>
      <c r="Y12" s="155">
        <v>150</v>
      </c>
      <c r="Z12" s="155">
        <v>32</v>
      </c>
    </row>
    <row r="13" spans="1:27" hidden="1" x14ac:dyDescent="0.3">
      <c r="A13">
        <v>12</v>
      </c>
      <c r="B13" s="142" t="s">
        <v>174</v>
      </c>
      <c r="C13" s="142" t="s">
        <v>306</v>
      </c>
      <c r="D13" s="142" t="s">
        <v>65</v>
      </c>
      <c r="E13" s="142" t="s">
        <v>78</v>
      </c>
      <c r="F13" s="142" t="s">
        <v>426</v>
      </c>
      <c r="G13" s="142" t="s">
        <v>316</v>
      </c>
      <c r="H13" s="142" t="s">
        <v>320</v>
      </c>
      <c r="I13" s="142" t="s">
        <v>321</v>
      </c>
      <c r="J13" s="148">
        <v>75</v>
      </c>
      <c r="K13" s="143">
        <v>110</v>
      </c>
      <c r="L13" s="148">
        <v>0</v>
      </c>
      <c r="M13" s="148"/>
      <c r="N13" s="148">
        <f t="shared" si="0"/>
        <v>185</v>
      </c>
      <c r="O13" s="149"/>
      <c r="P13" s="149"/>
      <c r="Q13" s="149"/>
      <c r="R13" s="149">
        <v>185</v>
      </c>
      <c r="S13" s="149"/>
      <c r="T13" s="149"/>
      <c r="U13" s="145">
        <f t="shared" si="1"/>
        <v>0</v>
      </c>
      <c r="V13" s="155"/>
      <c r="W13" s="155"/>
      <c r="X13" s="155"/>
      <c r="Y13" s="177"/>
      <c r="Z13" s="168"/>
    </row>
    <row r="14" spans="1:27" ht="15.6" hidden="1" x14ac:dyDescent="0.3">
      <c r="A14">
        <v>13</v>
      </c>
      <c r="B14" s="154" t="s">
        <v>554</v>
      </c>
      <c r="C14" s="154" t="s">
        <v>337</v>
      </c>
      <c r="D14" s="154" t="s">
        <v>555</v>
      </c>
      <c r="E14" s="154" t="s">
        <v>556</v>
      </c>
      <c r="F14" s="154" t="s">
        <v>557</v>
      </c>
      <c r="G14" s="154" t="s">
        <v>316</v>
      </c>
      <c r="H14" s="154" t="s">
        <v>347</v>
      </c>
      <c r="I14" s="154" t="s">
        <v>348</v>
      </c>
      <c r="J14" s="148">
        <v>75</v>
      </c>
      <c r="K14" s="143">
        <v>110</v>
      </c>
      <c r="L14" s="148">
        <v>25</v>
      </c>
      <c r="M14" s="148" t="s">
        <v>578</v>
      </c>
      <c r="N14" s="148">
        <f t="shared" si="0"/>
        <v>210</v>
      </c>
      <c r="O14" s="149">
        <v>210</v>
      </c>
      <c r="P14" s="149"/>
      <c r="Q14" s="149"/>
      <c r="R14" s="149"/>
      <c r="S14" s="149"/>
      <c r="T14" s="149"/>
      <c r="U14" s="145">
        <f t="shared" si="1"/>
        <v>0</v>
      </c>
      <c r="V14" s="155"/>
      <c r="W14" s="155"/>
      <c r="X14" s="155"/>
      <c r="Y14" s="177"/>
      <c r="Z14" s="168"/>
    </row>
    <row r="15" spans="1:27" ht="15.6" x14ac:dyDescent="0.3">
      <c r="A15">
        <v>14</v>
      </c>
      <c r="B15" s="154" t="s">
        <v>564</v>
      </c>
      <c r="C15" s="154" t="s">
        <v>337</v>
      </c>
      <c r="D15" s="154" t="s">
        <v>565</v>
      </c>
      <c r="E15" s="154" t="s">
        <v>566</v>
      </c>
      <c r="F15" s="154" t="s">
        <v>567</v>
      </c>
      <c r="G15" s="154" t="s">
        <v>388</v>
      </c>
      <c r="H15" s="154" t="s">
        <v>389</v>
      </c>
      <c r="I15" s="154" t="s">
        <v>389</v>
      </c>
      <c r="J15" s="148">
        <v>46</v>
      </c>
      <c r="K15" s="143">
        <v>110</v>
      </c>
      <c r="L15" s="148">
        <v>25</v>
      </c>
      <c r="M15" s="148" t="s">
        <v>594</v>
      </c>
      <c r="N15" s="148">
        <f t="shared" si="0"/>
        <v>181</v>
      </c>
      <c r="O15" s="149">
        <f>181-30</f>
        <v>151</v>
      </c>
      <c r="P15" s="149"/>
      <c r="Q15" s="149"/>
      <c r="R15" s="149"/>
      <c r="S15" s="149">
        <v>30</v>
      </c>
      <c r="T15" s="149"/>
      <c r="U15" s="145">
        <f t="shared" si="1"/>
        <v>0</v>
      </c>
      <c r="V15" s="155">
        <v>30</v>
      </c>
      <c r="W15" s="163">
        <v>30</v>
      </c>
      <c r="X15" s="340">
        <v>30</v>
      </c>
      <c r="Y15" s="155">
        <v>400</v>
      </c>
      <c r="Z15" s="168"/>
    </row>
    <row r="16" spans="1:27" ht="15.6" hidden="1" x14ac:dyDescent="0.3">
      <c r="A16">
        <v>15</v>
      </c>
      <c r="B16" s="142" t="s">
        <v>205</v>
      </c>
      <c r="C16" s="142" t="s">
        <v>337</v>
      </c>
      <c r="D16" s="142" t="s">
        <v>203</v>
      </c>
      <c r="E16" s="142" t="s">
        <v>204</v>
      </c>
      <c r="F16" s="142" t="s">
        <v>457</v>
      </c>
      <c r="G16" s="142" t="s">
        <v>388</v>
      </c>
      <c r="H16" s="142" t="s">
        <v>389</v>
      </c>
      <c r="I16" s="142" t="s">
        <v>389</v>
      </c>
      <c r="J16" s="148">
        <v>46</v>
      </c>
      <c r="K16" s="148">
        <v>110</v>
      </c>
      <c r="L16" s="148">
        <v>0</v>
      </c>
      <c r="M16" s="176"/>
      <c r="N16" s="148">
        <f t="shared" si="0"/>
        <v>156</v>
      </c>
      <c r="O16" s="161"/>
      <c r="P16" s="161"/>
      <c r="Q16" s="161"/>
      <c r="R16" s="146">
        <f>22+22+22+22+22+22</f>
        <v>132</v>
      </c>
      <c r="S16" s="161"/>
      <c r="T16" s="146">
        <v>50</v>
      </c>
      <c r="U16" s="145">
        <f>((SUM(O16:T16))-N16)+30+30</f>
        <v>86</v>
      </c>
      <c r="V16" s="178">
        <v>30</v>
      </c>
      <c r="W16" s="163">
        <v>30</v>
      </c>
      <c r="X16" s="155"/>
      <c r="Y16" s="155">
        <v>400</v>
      </c>
      <c r="Z16" s="168"/>
      <c r="AA16">
        <f>N16-R16-T16+V16+W16</f>
        <v>34</v>
      </c>
    </row>
    <row r="17" spans="1:50" ht="15.6" x14ac:dyDescent="0.3">
      <c r="A17">
        <v>16</v>
      </c>
      <c r="B17" s="172" t="s">
        <v>136</v>
      </c>
      <c r="C17" s="172" t="s">
        <v>337</v>
      </c>
      <c r="D17" s="172" t="s">
        <v>52</v>
      </c>
      <c r="E17" s="172" t="s">
        <v>48</v>
      </c>
      <c r="F17" s="172" t="s">
        <v>461</v>
      </c>
      <c r="G17" s="172" t="s">
        <v>388</v>
      </c>
      <c r="H17" s="172" t="s">
        <v>399</v>
      </c>
      <c r="I17" s="172" t="s">
        <v>399</v>
      </c>
      <c r="J17" s="173">
        <v>46</v>
      </c>
      <c r="K17" s="173">
        <v>110</v>
      </c>
      <c r="L17" s="173">
        <v>0</v>
      </c>
      <c r="M17" s="173"/>
      <c r="N17" s="152">
        <f t="shared" si="0"/>
        <v>156</v>
      </c>
      <c r="O17" s="175">
        <f>163-7</f>
        <v>156</v>
      </c>
      <c r="P17" s="175"/>
      <c r="Q17" s="175"/>
      <c r="R17" s="181"/>
      <c r="S17" s="175"/>
      <c r="T17" s="175"/>
      <c r="U17" s="145">
        <f t="shared" si="1"/>
        <v>0</v>
      </c>
      <c r="V17" s="163">
        <f>23+7</f>
        <v>30</v>
      </c>
      <c r="W17" s="163">
        <v>30</v>
      </c>
      <c r="X17" s="163">
        <v>30</v>
      </c>
      <c r="Y17" s="163">
        <v>400</v>
      </c>
      <c r="Z17" s="169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</row>
    <row r="18" spans="1:50" hidden="1" x14ac:dyDescent="0.3">
      <c r="A18">
        <v>17</v>
      </c>
      <c r="B18" s="142" t="s">
        <v>137</v>
      </c>
      <c r="C18" s="142" t="s">
        <v>337</v>
      </c>
      <c r="D18" s="142" t="s">
        <v>35</v>
      </c>
      <c r="E18" s="142" t="s">
        <v>36</v>
      </c>
      <c r="F18" s="142" t="s">
        <v>338</v>
      </c>
      <c r="G18" s="142" t="s">
        <v>316</v>
      </c>
      <c r="H18" s="142" t="s">
        <v>320</v>
      </c>
      <c r="I18" s="142" t="s">
        <v>321</v>
      </c>
      <c r="J18" s="153">
        <v>75</v>
      </c>
      <c r="K18" s="153">
        <v>110</v>
      </c>
      <c r="L18" s="153">
        <v>0</v>
      </c>
      <c r="M18" s="153"/>
      <c r="N18" s="153">
        <f t="shared" si="0"/>
        <v>185</v>
      </c>
      <c r="O18" s="171"/>
      <c r="P18" s="171"/>
      <c r="Q18" s="171"/>
      <c r="R18" s="171">
        <v>185</v>
      </c>
      <c r="S18" s="171"/>
      <c r="T18" s="170"/>
      <c r="U18" s="145">
        <f t="shared" si="1"/>
        <v>0</v>
      </c>
      <c r="V18" s="155"/>
      <c r="W18" s="155"/>
      <c r="X18" s="155"/>
      <c r="Y18" s="177"/>
      <c r="Z18" s="168"/>
    </row>
    <row r="19" spans="1:50" hidden="1" x14ac:dyDescent="0.3">
      <c r="A19">
        <v>18</v>
      </c>
      <c r="B19" s="142" t="s">
        <v>179</v>
      </c>
      <c r="C19" s="142" t="s">
        <v>306</v>
      </c>
      <c r="D19" s="142" t="s">
        <v>175</v>
      </c>
      <c r="E19" s="142" t="s">
        <v>176</v>
      </c>
      <c r="F19" s="142" t="s">
        <v>180</v>
      </c>
      <c r="G19" s="142" t="s">
        <v>316</v>
      </c>
      <c r="H19" s="142" t="s">
        <v>347</v>
      </c>
      <c r="I19" s="142" t="s">
        <v>348</v>
      </c>
      <c r="J19" s="153">
        <v>75</v>
      </c>
      <c r="K19" s="153">
        <v>110</v>
      </c>
      <c r="L19" s="153">
        <v>0</v>
      </c>
      <c r="M19" s="153"/>
      <c r="N19" s="153">
        <f t="shared" si="0"/>
        <v>185</v>
      </c>
      <c r="O19" s="171"/>
      <c r="P19" s="171"/>
      <c r="Q19" s="171"/>
      <c r="R19" s="171">
        <v>185</v>
      </c>
      <c r="S19" s="171"/>
      <c r="T19" s="170"/>
      <c r="U19" s="145">
        <f t="shared" si="1"/>
        <v>0</v>
      </c>
      <c r="V19" s="155"/>
      <c r="W19" s="155"/>
      <c r="X19" s="155"/>
      <c r="Y19" s="177"/>
      <c r="Z19" s="168"/>
    </row>
    <row r="20" spans="1:50" ht="15.6" hidden="1" x14ac:dyDescent="0.3">
      <c r="A20">
        <v>19</v>
      </c>
      <c r="B20" s="154" t="s">
        <v>182</v>
      </c>
      <c r="C20" s="154" t="s">
        <v>306</v>
      </c>
      <c r="D20" s="154" t="s">
        <v>177</v>
      </c>
      <c r="E20" s="154" t="s">
        <v>178</v>
      </c>
      <c r="F20" s="154" t="s">
        <v>183</v>
      </c>
      <c r="G20" s="154" t="s">
        <v>388</v>
      </c>
      <c r="H20" s="154" t="s">
        <v>462</v>
      </c>
      <c r="I20" s="154" t="s">
        <v>462</v>
      </c>
      <c r="J20" s="152">
        <v>46</v>
      </c>
      <c r="K20" s="152">
        <v>88</v>
      </c>
      <c r="L20" s="152">
        <v>0</v>
      </c>
      <c r="M20" s="152"/>
      <c r="N20" s="152">
        <f t="shared" si="0"/>
        <v>134</v>
      </c>
      <c r="O20" s="170"/>
      <c r="P20" s="170"/>
      <c r="Q20" s="170"/>
      <c r="R20" s="170">
        <v>84</v>
      </c>
      <c r="S20" s="170"/>
      <c r="T20" s="170">
        <v>50</v>
      </c>
      <c r="U20" s="145">
        <f t="shared" si="1"/>
        <v>0</v>
      </c>
      <c r="V20" s="142"/>
      <c r="W20" s="142"/>
      <c r="X20" s="155"/>
      <c r="Y20" s="242"/>
      <c r="Z20" s="168"/>
    </row>
    <row r="21" spans="1:50" ht="15.6" hidden="1" x14ac:dyDescent="0.3">
      <c r="A21">
        <v>20</v>
      </c>
      <c r="B21" s="154" t="s">
        <v>698</v>
      </c>
      <c r="C21" s="154" t="s">
        <v>306</v>
      </c>
      <c r="D21" s="154" t="s">
        <v>699</v>
      </c>
      <c r="E21" s="154" t="s">
        <v>700</v>
      </c>
      <c r="F21" s="154" t="s">
        <v>701</v>
      </c>
      <c r="G21" s="154" t="s">
        <v>388</v>
      </c>
      <c r="H21" s="154" t="s">
        <v>462</v>
      </c>
      <c r="I21" s="154" t="s">
        <v>462</v>
      </c>
      <c r="J21" s="152">
        <v>46</v>
      </c>
      <c r="K21" s="152">
        <v>110</v>
      </c>
      <c r="L21" s="152">
        <v>25</v>
      </c>
      <c r="M21" s="152" t="s">
        <v>544</v>
      </c>
      <c r="N21" s="152">
        <f t="shared" si="0"/>
        <v>181</v>
      </c>
      <c r="O21" s="174"/>
      <c r="P21" s="174"/>
      <c r="Q21" s="174"/>
      <c r="R21" s="170">
        <v>210</v>
      </c>
      <c r="S21" s="174"/>
      <c r="T21" s="174"/>
      <c r="U21" s="145">
        <f t="shared" si="1"/>
        <v>29</v>
      </c>
      <c r="V21" s="142"/>
      <c r="W21" s="163"/>
      <c r="X21" s="155"/>
      <c r="Y21" s="155">
        <v>150</v>
      </c>
      <c r="Z21" s="155">
        <v>29</v>
      </c>
    </row>
    <row r="22" spans="1:50" ht="15.6" x14ac:dyDescent="0.3">
      <c r="A22">
        <v>21</v>
      </c>
      <c r="B22" s="147" t="s">
        <v>406</v>
      </c>
      <c r="C22" s="147" t="s">
        <v>306</v>
      </c>
      <c r="D22" s="147" t="s">
        <v>407</v>
      </c>
      <c r="E22" s="147" t="s">
        <v>408</v>
      </c>
      <c r="F22" s="147" t="s">
        <v>409</v>
      </c>
      <c r="G22" s="147" t="s">
        <v>316</v>
      </c>
      <c r="H22" s="147" t="s">
        <v>347</v>
      </c>
      <c r="I22" s="147" t="s">
        <v>348</v>
      </c>
      <c r="J22" s="143">
        <v>75</v>
      </c>
      <c r="K22" s="143">
        <v>110</v>
      </c>
      <c r="L22" s="143">
        <v>25</v>
      </c>
      <c r="M22" s="143" t="s">
        <v>545</v>
      </c>
      <c r="N22" s="143">
        <f t="shared" si="0"/>
        <v>210</v>
      </c>
      <c r="O22" s="144"/>
      <c r="P22" s="144"/>
      <c r="Q22" s="144"/>
      <c r="R22" s="145">
        <v>210</v>
      </c>
      <c r="S22" s="144"/>
      <c r="T22" s="146"/>
      <c r="U22" s="145">
        <f t="shared" si="1"/>
        <v>0</v>
      </c>
      <c r="V22" s="155"/>
      <c r="W22" s="163">
        <v>30</v>
      </c>
      <c r="X22" s="340">
        <v>30</v>
      </c>
      <c r="Y22" s="155">
        <v>400</v>
      </c>
      <c r="Z22" s="155">
        <v>32</v>
      </c>
    </row>
    <row r="23" spans="1:50" ht="15.6" x14ac:dyDescent="0.3">
      <c r="A23">
        <v>22</v>
      </c>
      <c r="B23" s="154" t="s">
        <v>665</v>
      </c>
      <c r="C23" s="154" t="s">
        <v>337</v>
      </c>
      <c r="D23" s="154" t="s">
        <v>407</v>
      </c>
      <c r="E23" s="154" t="s">
        <v>666</v>
      </c>
      <c r="F23" s="154" t="s">
        <v>667</v>
      </c>
      <c r="G23" s="154" t="s">
        <v>388</v>
      </c>
      <c r="H23" s="154" t="s">
        <v>462</v>
      </c>
      <c r="I23" s="154" t="s">
        <v>462</v>
      </c>
      <c r="J23" s="148">
        <v>46</v>
      </c>
      <c r="K23" s="143">
        <v>88</v>
      </c>
      <c r="L23" s="148">
        <v>25</v>
      </c>
      <c r="M23" s="148" t="s">
        <v>594</v>
      </c>
      <c r="N23" s="148">
        <f t="shared" si="0"/>
        <v>159</v>
      </c>
      <c r="O23" s="161"/>
      <c r="P23" s="161"/>
      <c r="Q23" s="161"/>
      <c r="R23" s="146">
        <v>159</v>
      </c>
      <c r="S23" s="161"/>
      <c r="T23" s="161"/>
      <c r="U23" s="145">
        <f t="shared" si="1"/>
        <v>0</v>
      </c>
      <c r="V23" s="142"/>
      <c r="W23" s="163">
        <v>20</v>
      </c>
      <c r="X23" s="340">
        <v>30</v>
      </c>
      <c r="Y23" s="155">
        <v>300</v>
      </c>
      <c r="Z23" s="155">
        <v>32</v>
      </c>
    </row>
    <row r="24" spans="1:50" hidden="1" x14ac:dyDescent="0.3">
      <c r="A24">
        <v>23</v>
      </c>
      <c r="B24" s="142" t="s">
        <v>140</v>
      </c>
      <c r="C24" s="142" t="s">
        <v>306</v>
      </c>
      <c r="D24" s="142" t="s">
        <v>91</v>
      </c>
      <c r="E24" s="142" t="s">
        <v>350</v>
      </c>
      <c r="F24" s="142" t="s">
        <v>351</v>
      </c>
      <c r="G24" s="142" t="s">
        <v>316</v>
      </c>
      <c r="H24" s="142" t="s">
        <v>356</v>
      </c>
      <c r="I24" s="142" t="s">
        <v>357</v>
      </c>
      <c r="J24" s="143">
        <v>75</v>
      </c>
      <c r="K24" s="143">
        <v>0</v>
      </c>
      <c r="L24" s="143">
        <v>0</v>
      </c>
      <c r="M24" s="143"/>
      <c r="N24" s="143">
        <f t="shared" si="0"/>
        <v>75</v>
      </c>
      <c r="O24" s="144"/>
      <c r="P24" s="144"/>
      <c r="Q24" s="144"/>
      <c r="R24" s="144">
        <v>75</v>
      </c>
      <c r="S24" s="144"/>
      <c r="T24" s="146"/>
      <c r="U24" s="145">
        <f t="shared" si="1"/>
        <v>0</v>
      </c>
      <c r="V24" s="155"/>
      <c r="W24" s="155"/>
      <c r="X24" s="155"/>
      <c r="Y24" s="177"/>
      <c r="Z24" s="168"/>
    </row>
    <row r="25" spans="1:50" hidden="1" x14ac:dyDescent="0.3">
      <c r="A25">
        <v>24</v>
      </c>
      <c r="B25" s="142" t="s">
        <v>139</v>
      </c>
      <c r="C25" s="142" t="s">
        <v>337</v>
      </c>
      <c r="D25" s="142" t="s">
        <v>91</v>
      </c>
      <c r="E25" s="142" t="s">
        <v>31</v>
      </c>
      <c r="F25" s="142" t="s">
        <v>464</v>
      </c>
      <c r="G25" s="142" t="s">
        <v>316</v>
      </c>
      <c r="H25" s="142" t="s">
        <v>356</v>
      </c>
      <c r="I25" s="142" t="s">
        <v>357</v>
      </c>
      <c r="J25" s="148">
        <v>75</v>
      </c>
      <c r="K25" s="148">
        <v>88</v>
      </c>
      <c r="L25" s="148">
        <v>0</v>
      </c>
      <c r="M25" s="176"/>
      <c r="N25" s="148">
        <f t="shared" si="0"/>
        <v>163</v>
      </c>
      <c r="O25" s="161"/>
      <c r="P25" s="161"/>
      <c r="Q25" s="161"/>
      <c r="R25" s="146">
        <v>163</v>
      </c>
      <c r="S25" s="161"/>
      <c r="T25" s="161"/>
      <c r="U25" s="145">
        <f t="shared" si="1"/>
        <v>0</v>
      </c>
      <c r="V25" s="142"/>
      <c r="W25" s="142"/>
      <c r="X25" s="155"/>
      <c r="Y25" s="177"/>
      <c r="Z25" s="168"/>
    </row>
    <row r="26" spans="1:50" ht="15.6" hidden="1" x14ac:dyDescent="0.3">
      <c r="A26">
        <v>25</v>
      </c>
      <c r="B26" s="142" t="s">
        <v>723</v>
      </c>
      <c r="C26" s="142" t="s">
        <v>306</v>
      </c>
      <c r="D26" s="142" t="s">
        <v>724</v>
      </c>
      <c r="E26" s="142" t="s">
        <v>725</v>
      </c>
      <c r="F26" s="142" t="s">
        <v>726</v>
      </c>
      <c r="G26" s="142" t="s">
        <v>316</v>
      </c>
      <c r="H26" s="142" t="s">
        <v>347</v>
      </c>
      <c r="I26" s="142" t="s">
        <v>348</v>
      </c>
      <c r="J26" s="148">
        <v>75</v>
      </c>
      <c r="K26" s="148">
        <v>110</v>
      </c>
      <c r="L26" s="148">
        <v>0</v>
      </c>
      <c r="M26" s="176"/>
      <c r="N26" s="148">
        <f t="shared" si="0"/>
        <v>185</v>
      </c>
      <c r="O26" s="161"/>
      <c r="P26" s="161"/>
      <c r="Q26" s="161"/>
      <c r="R26" s="146">
        <v>185</v>
      </c>
      <c r="S26" s="161"/>
      <c r="T26" s="161"/>
      <c r="U26" s="145">
        <f t="shared" si="1"/>
        <v>0</v>
      </c>
      <c r="V26" s="142"/>
      <c r="W26" s="163"/>
      <c r="X26" s="155"/>
      <c r="Y26" s="155">
        <v>150</v>
      </c>
      <c r="Z26" s="155">
        <v>32</v>
      </c>
    </row>
    <row r="27" spans="1:50" hidden="1" x14ac:dyDescent="0.3">
      <c r="A27">
        <v>26</v>
      </c>
      <c r="B27" s="142" t="s">
        <v>141</v>
      </c>
      <c r="C27" s="142" t="s">
        <v>306</v>
      </c>
      <c r="D27" s="142" t="s">
        <v>39</v>
      </c>
      <c r="E27" s="142" t="s">
        <v>33</v>
      </c>
      <c r="F27" s="142" t="s">
        <v>361</v>
      </c>
      <c r="G27" s="142" t="s">
        <v>316</v>
      </c>
      <c r="H27" s="142" t="s">
        <v>356</v>
      </c>
      <c r="I27" s="142" t="s">
        <v>357</v>
      </c>
      <c r="J27" s="143">
        <v>75</v>
      </c>
      <c r="K27" s="143">
        <v>0</v>
      </c>
      <c r="L27" s="143">
        <v>0</v>
      </c>
      <c r="M27" s="143"/>
      <c r="N27" s="143">
        <f t="shared" si="0"/>
        <v>75</v>
      </c>
      <c r="O27" s="144"/>
      <c r="P27" s="144"/>
      <c r="Q27" s="144"/>
      <c r="R27" s="145">
        <v>75</v>
      </c>
      <c r="S27" s="144"/>
      <c r="T27" s="146"/>
      <c r="U27" s="145">
        <f t="shared" si="1"/>
        <v>0</v>
      </c>
      <c r="V27" s="155"/>
      <c r="W27" s="155"/>
      <c r="X27" s="155"/>
      <c r="Y27" s="177"/>
      <c r="Z27" s="168"/>
    </row>
    <row r="28" spans="1:50" ht="15.6" hidden="1" x14ac:dyDescent="0.3">
      <c r="A28">
        <v>27</v>
      </c>
      <c r="B28" s="154" t="s">
        <v>546</v>
      </c>
      <c r="C28" s="154" t="s">
        <v>306</v>
      </c>
      <c r="D28" s="154" t="s">
        <v>547</v>
      </c>
      <c r="E28" s="154" t="s">
        <v>548</v>
      </c>
      <c r="F28" s="154" t="s">
        <v>549</v>
      </c>
      <c r="G28" s="154" t="s">
        <v>316</v>
      </c>
      <c r="H28" s="154" t="s">
        <v>347</v>
      </c>
      <c r="I28" s="154" t="s">
        <v>348</v>
      </c>
      <c r="J28" s="148">
        <v>75</v>
      </c>
      <c r="K28" s="143">
        <v>110</v>
      </c>
      <c r="L28" s="148">
        <v>0</v>
      </c>
      <c r="M28" s="148"/>
      <c r="N28" s="148">
        <f t="shared" si="0"/>
        <v>185</v>
      </c>
      <c r="O28" s="149">
        <v>185</v>
      </c>
      <c r="P28" s="149"/>
      <c r="Q28" s="149"/>
      <c r="R28" s="149"/>
      <c r="S28" s="149"/>
      <c r="T28" s="149"/>
      <c r="U28" s="145">
        <f t="shared" si="1"/>
        <v>0</v>
      </c>
      <c r="V28" s="155"/>
      <c r="W28" s="155"/>
      <c r="X28" s="155"/>
      <c r="Y28" s="177"/>
      <c r="Z28" s="168"/>
    </row>
    <row r="29" spans="1:50" ht="15.6" hidden="1" x14ac:dyDescent="0.3">
      <c r="A29">
        <v>28</v>
      </c>
      <c r="B29" s="154" t="s">
        <v>597</v>
      </c>
      <c r="C29" s="154" t="s">
        <v>306</v>
      </c>
      <c r="D29" s="154" t="s">
        <v>598</v>
      </c>
      <c r="E29" s="154" t="s">
        <v>599</v>
      </c>
      <c r="F29" s="154" t="s">
        <v>600</v>
      </c>
      <c r="G29" s="154" t="s">
        <v>316</v>
      </c>
      <c r="H29" s="154" t="s">
        <v>356</v>
      </c>
      <c r="I29" s="154" t="s">
        <v>357</v>
      </c>
      <c r="J29" s="148">
        <v>75</v>
      </c>
      <c r="K29" s="143">
        <v>110</v>
      </c>
      <c r="L29" s="148">
        <v>25</v>
      </c>
      <c r="M29" s="148" t="s">
        <v>687</v>
      </c>
      <c r="N29" s="148">
        <f t="shared" si="0"/>
        <v>210</v>
      </c>
      <c r="O29" s="161">
        <v>71</v>
      </c>
      <c r="P29" s="161">
        <v>71</v>
      </c>
      <c r="Q29" s="161">
        <v>68</v>
      </c>
      <c r="R29" s="146"/>
      <c r="S29" s="161"/>
      <c r="T29" s="161"/>
      <c r="U29" s="145">
        <f t="shared" si="1"/>
        <v>0</v>
      </c>
      <c r="V29" s="155"/>
      <c r="W29" s="155"/>
      <c r="X29" s="155"/>
      <c r="Y29" s="177"/>
      <c r="Z29" s="168"/>
    </row>
    <row r="30" spans="1:50" hidden="1" x14ac:dyDescent="0.3">
      <c r="A30">
        <v>29</v>
      </c>
      <c r="B30" s="142" t="s">
        <v>369</v>
      </c>
      <c r="C30" s="142" t="s">
        <v>306</v>
      </c>
      <c r="D30" s="142" t="s">
        <v>370</v>
      </c>
      <c r="E30" s="142" t="s">
        <v>371</v>
      </c>
      <c r="F30" s="142" t="s">
        <v>372</v>
      </c>
      <c r="G30" s="142" t="s">
        <v>378</v>
      </c>
      <c r="H30" s="142" t="s">
        <v>347</v>
      </c>
      <c r="I30" s="142" t="s">
        <v>348</v>
      </c>
      <c r="J30" s="143">
        <v>67</v>
      </c>
      <c r="K30" s="143">
        <v>110</v>
      </c>
      <c r="L30" s="143">
        <v>25</v>
      </c>
      <c r="M30" s="143" t="s">
        <v>543</v>
      </c>
      <c r="N30" s="143">
        <f t="shared" si="0"/>
        <v>202</v>
      </c>
      <c r="O30" s="144">
        <v>202</v>
      </c>
      <c r="P30" s="144"/>
      <c r="Q30" s="144"/>
      <c r="R30" s="144"/>
      <c r="S30" s="144"/>
      <c r="T30" s="146"/>
      <c r="U30" s="145">
        <f t="shared" si="1"/>
        <v>0</v>
      </c>
      <c r="V30" s="155"/>
      <c r="W30" s="155"/>
      <c r="X30" s="155"/>
      <c r="Y30" s="177"/>
      <c r="Z30" s="168"/>
    </row>
    <row r="31" spans="1:50" hidden="1" x14ac:dyDescent="0.3">
      <c r="A31">
        <v>30</v>
      </c>
      <c r="B31" s="142" t="s">
        <v>192</v>
      </c>
      <c r="C31" s="142" t="s">
        <v>306</v>
      </c>
      <c r="D31" s="142" t="s">
        <v>154</v>
      </c>
      <c r="E31" s="142" t="s">
        <v>193</v>
      </c>
      <c r="F31" s="142" t="s">
        <v>194</v>
      </c>
      <c r="G31" s="142" t="s">
        <v>316</v>
      </c>
      <c r="H31" s="142" t="s">
        <v>347</v>
      </c>
      <c r="I31" s="142" t="s">
        <v>348</v>
      </c>
      <c r="J31" s="143">
        <v>75</v>
      </c>
      <c r="K31" s="143">
        <v>110</v>
      </c>
      <c r="L31" s="143">
        <v>0</v>
      </c>
      <c r="M31" s="143"/>
      <c r="N31" s="143">
        <f t="shared" si="0"/>
        <v>185</v>
      </c>
      <c r="O31" s="144">
        <v>185</v>
      </c>
      <c r="P31" s="144"/>
      <c r="Q31" s="144"/>
      <c r="R31" s="144"/>
      <c r="S31" s="144"/>
      <c r="T31" s="146"/>
      <c r="U31" s="145">
        <f t="shared" si="1"/>
        <v>0</v>
      </c>
      <c r="V31" s="155"/>
      <c r="W31" s="155"/>
      <c r="X31" s="155"/>
      <c r="Y31" s="177"/>
      <c r="Z31" s="168"/>
    </row>
    <row r="32" spans="1:50" ht="15.6" hidden="1" x14ac:dyDescent="0.3">
      <c r="A32">
        <v>31</v>
      </c>
      <c r="B32" s="142" t="s">
        <v>383</v>
      </c>
      <c r="C32" s="142" t="s">
        <v>337</v>
      </c>
      <c r="D32" s="142" t="s">
        <v>154</v>
      </c>
      <c r="E32" s="142" t="s">
        <v>83</v>
      </c>
      <c r="F32" s="142" t="s">
        <v>384</v>
      </c>
      <c r="G32" s="142" t="s">
        <v>388</v>
      </c>
      <c r="H32" s="142" t="s">
        <v>389</v>
      </c>
      <c r="I32" s="142" t="s">
        <v>389</v>
      </c>
      <c r="J32" s="143">
        <v>46</v>
      </c>
      <c r="K32" s="143">
        <v>88</v>
      </c>
      <c r="L32" s="143">
        <v>25</v>
      </c>
      <c r="M32" s="143" t="s">
        <v>544</v>
      </c>
      <c r="N32" s="143">
        <f t="shared" si="0"/>
        <v>159</v>
      </c>
      <c r="O32" s="144">
        <v>159</v>
      </c>
      <c r="P32" s="144"/>
      <c r="Q32" s="144"/>
      <c r="R32" s="144"/>
      <c r="S32" s="144"/>
      <c r="T32" s="146"/>
      <c r="U32" s="145">
        <f t="shared" si="1"/>
        <v>0</v>
      </c>
      <c r="V32" s="179"/>
      <c r="W32" s="163">
        <v>20</v>
      </c>
      <c r="X32" s="155"/>
      <c r="Y32" s="155">
        <v>200</v>
      </c>
      <c r="Z32" s="155">
        <v>32</v>
      </c>
    </row>
    <row r="33" spans="1:52" ht="15.6" x14ac:dyDescent="0.3">
      <c r="A33">
        <v>32</v>
      </c>
      <c r="B33" s="154" t="s">
        <v>612</v>
      </c>
      <c r="C33" s="154" t="s">
        <v>306</v>
      </c>
      <c r="D33" s="154" t="s">
        <v>613</v>
      </c>
      <c r="E33" s="154" t="s">
        <v>614</v>
      </c>
      <c r="F33" s="154" t="s">
        <v>615</v>
      </c>
      <c r="G33" s="154" t="s">
        <v>378</v>
      </c>
      <c r="H33" s="154" t="s">
        <v>320</v>
      </c>
      <c r="I33" s="154" t="s">
        <v>321</v>
      </c>
      <c r="J33" s="148">
        <v>67</v>
      </c>
      <c r="K33" s="143">
        <v>110</v>
      </c>
      <c r="L33" s="148">
        <v>25</v>
      </c>
      <c r="M33" s="148" t="s">
        <v>688</v>
      </c>
      <c r="N33" s="148">
        <f t="shared" si="0"/>
        <v>202</v>
      </c>
      <c r="O33" s="161">
        <v>202</v>
      </c>
      <c r="P33" s="161"/>
      <c r="Q33" s="161"/>
      <c r="R33" s="146"/>
      <c r="S33" s="161"/>
      <c r="T33" s="161"/>
      <c r="U33" s="145">
        <f t="shared" si="1"/>
        <v>0</v>
      </c>
      <c r="V33" s="155"/>
      <c r="W33" s="163">
        <v>30</v>
      </c>
      <c r="X33" s="155">
        <v>30</v>
      </c>
      <c r="Y33" s="155">
        <v>400</v>
      </c>
      <c r="Z33" s="155">
        <v>32</v>
      </c>
    </row>
    <row r="34" spans="1:52" ht="15.6" x14ac:dyDescent="0.3">
      <c r="A34">
        <v>33</v>
      </c>
      <c r="B34" s="154" t="s">
        <v>711</v>
      </c>
      <c r="C34" s="154" t="s">
        <v>306</v>
      </c>
      <c r="D34" s="154" t="s">
        <v>712</v>
      </c>
      <c r="E34" s="154" t="s">
        <v>713</v>
      </c>
      <c r="F34" s="154" t="s">
        <v>714</v>
      </c>
      <c r="G34" s="154" t="s">
        <v>316</v>
      </c>
      <c r="H34" s="154" t="s">
        <v>347</v>
      </c>
      <c r="I34" s="154" t="s">
        <v>348</v>
      </c>
      <c r="J34" s="148">
        <v>75</v>
      </c>
      <c r="K34" s="148">
        <v>110</v>
      </c>
      <c r="L34" s="148">
        <v>25</v>
      </c>
      <c r="M34" s="148" t="s">
        <v>578</v>
      </c>
      <c r="N34" s="148">
        <f t="shared" si="0"/>
        <v>210</v>
      </c>
      <c r="O34" s="161">
        <v>210</v>
      </c>
      <c r="P34" s="161"/>
      <c r="Q34" s="161"/>
      <c r="R34" s="146"/>
      <c r="S34" s="161"/>
      <c r="T34" s="161"/>
      <c r="U34" s="145">
        <f t="shared" si="1"/>
        <v>0</v>
      </c>
      <c r="V34" s="142"/>
      <c r="W34" s="163"/>
      <c r="X34" s="155">
        <v>30</v>
      </c>
      <c r="Y34" s="155">
        <v>150</v>
      </c>
      <c r="Z34" s="155">
        <v>32</v>
      </c>
    </row>
    <row r="35" spans="1:52" ht="15.6" x14ac:dyDescent="0.3">
      <c r="B35" s="154"/>
      <c r="C35" s="241" t="s">
        <v>337</v>
      </c>
      <c r="D35" s="241" t="s">
        <v>712</v>
      </c>
      <c r="E35" s="241" t="s">
        <v>799</v>
      </c>
      <c r="F35" s="154"/>
      <c r="G35" s="154"/>
      <c r="H35" s="154"/>
      <c r="I35" s="154"/>
      <c r="J35" s="148">
        <v>46</v>
      </c>
      <c r="K35" s="148">
        <v>88</v>
      </c>
      <c r="L35" s="148">
        <v>25</v>
      </c>
      <c r="M35" s="148" t="s">
        <v>306</v>
      </c>
      <c r="N35" s="148">
        <f t="shared" si="0"/>
        <v>159</v>
      </c>
      <c r="O35" s="161">
        <v>159</v>
      </c>
      <c r="P35" s="161"/>
      <c r="Q35" s="161"/>
      <c r="R35" s="146"/>
      <c r="S35" s="161"/>
      <c r="T35" s="161"/>
      <c r="U35" s="145">
        <f t="shared" si="1"/>
        <v>0</v>
      </c>
      <c r="V35" s="142"/>
      <c r="W35" s="163"/>
      <c r="X35" s="155">
        <v>30</v>
      </c>
      <c r="Y35" s="155">
        <v>150</v>
      </c>
      <c r="Z35" s="155">
        <v>32</v>
      </c>
    </row>
    <row r="36" spans="1:52" ht="15.6" x14ac:dyDescent="0.3">
      <c r="A36">
        <v>34</v>
      </c>
      <c r="B36" s="154" t="s">
        <v>626</v>
      </c>
      <c r="C36" s="154" t="s">
        <v>306</v>
      </c>
      <c r="D36" s="154" t="s">
        <v>627</v>
      </c>
      <c r="E36" s="154" t="s">
        <v>628</v>
      </c>
      <c r="F36" s="154" t="s">
        <v>629</v>
      </c>
      <c r="G36" s="154" t="s">
        <v>316</v>
      </c>
      <c r="H36" s="154" t="s">
        <v>320</v>
      </c>
      <c r="I36" s="154" t="s">
        <v>321</v>
      </c>
      <c r="J36" s="148">
        <v>75</v>
      </c>
      <c r="K36" s="143">
        <v>88</v>
      </c>
      <c r="L36" s="148">
        <v>25</v>
      </c>
      <c r="M36" s="148" t="s">
        <v>689</v>
      </c>
      <c r="N36" s="148">
        <f t="shared" si="0"/>
        <v>188</v>
      </c>
      <c r="O36" s="161">
        <v>63</v>
      </c>
      <c r="P36" s="161">
        <v>63</v>
      </c>
      <c r="Q36" s="161">
        <v>62</v>
      </c>
      <c r="R36" s="146"/>
      <c r="S36" s="161"/>
      <c r="T36" s="161"/>
      <c r="U36" s="145">
        <f t="shared" si="1"/>
        <v>0</v>
      </c>
      <c r="V36" s="155"/>
      <c r="W36" s="163">
        <v>30</v>
      </c>
      <c r="X36" s="340">
        <v>30</v>
      </c>
      <c r="Y36" s="155">
        <v>150</v>
      </c>
      <c r="Z36" s="155">
        <v>32</v>
      </c>
    </row>
    <row r="37" spans="1:52" ht="15.6" hidden="1" x14ac:dyDescent="0.3">
      <c r="A37">
        <v>35</v>
      </c>
      <c r="B37" s="154" t="s">
        <v>635</v>
      </c>
      <c r="C37" s="154" t="s">
        <v>306</v>
      </c>
      <c r="D37" s="154" t="s">
        <v>627</v>
      </c>
      <c r="E37" s="154" t="s">
        <v>636</v>
      </c>
      <c r="F37" s="154" t="s">
        <v>637</v>
      </c>
      <c r="G37" s="154" t="s">
        <v>316</v>
      </c>
      <c r="H37" s="154" t="s">
        <v>356</v>
      </c>
      <c r="I37" s="154" t="s">
        <v>357</v>
      </c>
      <c r="J37" s="148">
        <v>75</v>
      </c>
      <c r="K37" s="143">
        <v>110</v>
      </c>
      <c r="L37" s="148">
        <v>25</v>
      </c>
      <c r="M37" s="148" t="s">
        <v>689</v>
      </c>
      <c r="N37" s="148">
        <f t="shared" si="0"/>
        <v>210</v>
      </c>
      <c r="O37" s="161">
        <v>70</v>
      </c>
      <c r="P37" s="161">
        <v>70</v>
      </c>
      <c r="Q37" s="161">
        <v>70</v>
      </c>
      <c r="R37" s="146"/>
      <c r="S37" s="161"/>
      <c r="T37" s="161"/>
      <c r="U37" s="145">
        <f t="shared" si="1"/>
        <v>0</v>
      </c>
      <c r="V37" s="155"/>
      <c r="W37" s="163"/>
      <c r="X37" s="155"/>
      <c r="Y37" s="155">
        <v>150</v>
      </c>
      <c r="Z37" s="155">
        <v>32</v>
      </c>
    </row>
    <row r="38" spans="1:52" ht="15.6" hidden="1" x14ac:dyDescent="0.3">
      <c r="A38">
        <v>36</v>
      </c>
      <c r="B38" s="154" t="s">
        <v>680</v>
      </c>
      <c r="C38" s="154" t="s">
        <v>306</v>
      </c>
      <c r="D38" s="154" t="s">
        <v>681</v>
      </c>
      <c r="E38" s="154" t="s">
        <v>682</v>
      </c>
      <c r="F38" s="154" t="s">
        <v>683</v>
      </c>
      <c r="G38" s="154" t="s">
        <v>378</v>
      </c>
      <c r="H38" s="154" t="s">
        <v>347</v>
      </c>
      <c r="I38" s="154" t="s">
        <v>348</v>
      </c>
      <c r="J38" s="148">
        <v>67</v>
      </c>
      <c r="K38" s="148">
        <v>110</v>
      </c>
      <c r="L38" s="148">
        <v>0</v>
      </c>
      <c r="M38" s="148"/>
      <c r="N38" s="148">
        <f t="shared" si="0"/>
        <v>177</v>
      </c>
      <c r="O38" s="146">
        <v>177</v>
      </c>
      <c r="P38" s="146"/>
      <c r="Q38" s="146"/>
      <c r="R38" s="146"/>
      <c r="S38" s="146"/>
      <c r="T38" s="146"/>
      <c r="U38" s="145">
        <f t="shared" si="1"/>
        <v>0</v>
      </c>
      <c r="V38" s="142"/>
      <c r="W38" s="142"/>
      <c r="X38" s="155"/>
      <c r="Y38" s="177"/>
      <c r="Z38" s="168"/>
    </row>
    <row r="39" spans="1:52" hidden="1" x14ac:dyDescent="0.3">
      <c r="A39">
        <v>37</v>
      </c>
      <c r="B39" s="142" t="s">
        <v>142</v>
      </c>
      <c r="C39" s="142" t="s">
        <v>306</v>
      </c>
      <c r="D39" s="142" t="s">
        <v>86</v>
      </c>
      <c r="E39" s="142" t="s">
        <v>87</v>
      </c>
      <c r="F39" s="142" t="s">
        <v>393</v>
      </c>
      <c r="G39" s="142" t="s">
        <v>316</v>
      </c>
      <c r="H39" s="142" t="s">
        <v>356</v>
      </c>
      <c r="I39" s="142" t="s">
        <v>357</v>
      </c>
      <c r="J39" s="143">
        <v>75</v>
      </c>
      <c r="K39" s="143">
        <v>110</v>
      </c>
      <c r="L39" s="143">
        <v>0</v>
      </c>
      <c r="M39" s="143"/>
      <c r="N39" s="143">
        <f t="shared" si="0"/>
        <v>185</v>
      </c>
      <c r="O39" s="144"/>
      <c r="P39" s="144"/>
      <c r="Q39" s="144"/>
      <c r="R39" s="145">
        <v>185</v>
      </c>
      <c r="S39" s="144"/>
      <c r="T39" s="146"/>
      <c r="U39" s="145">
        <f t="shared" si="1"/>
        <v>0</v>
      </c>
      <c r="V39" s="155"/>
      <c r="W39" s="155"/>
      <c r="X39" s="155"/>
      <c r="Y39" s="177"/>
      <c r="Z39" s="168"/>
    </row>
    <row r="40" spans="1:52" ht="15.6" x14ac:dyDescent="0.3">
      <c r="A40">
        <v>38</v>
      </c>
      <c r="B40" s="142" t="s">
        <v>730</v>
      </c>
      <c r="C40" s="142" t="s">
        <v>337</v>
      </c>
      <c r="D40" s="142" t="s">
        <v>731</v>
      </c>
      <c r="E40" s="142" t="s">
        <v>189</v>
      </c>
      <c r="F40" s="142" t="s">
        <v>732</v>
      </c>
      <c r="G40" s="142" t="s">
        <v>316</v>
      </c>
      <c r="H40" s="142" t="s">
        <v>347</v>
      </c>
      <c r="I40" s="142" t="s">
        <v>348</v>
      </c>
      <c r="J40" s="176">
        <v>75</v>
      </c>
      <c r="K40" s="176">
        <v>88</v>
      </c>
      <c r="L40" s="148">
        <v>0</v>
      </c>
      <c r="M40" s="176"/>
      <c r="N40" s="148">
        <f t="shared" si="0"/>
        <v>163</v>
      </c>
      <c r="O40" s="161"/>
      <c r="P40" s="161"/>
      <c r="Q40" s="161"/>
      <c r="R40" s="146">
        <v>163</v>
      </c>
      <c r="S40" s="161"/>
      <c r="T40" s="161"/>
      <c r="U40" s="145">
        <f t="shared" si="1"/>
        <v>0</v>
      </c>
      <c r="V40" s="142"/>
      <c r="W40" s="163"/>
      <c r="X40" s="340">
        <v>30</v>
      </c>
      <c r="Y40" s="155">
        <v>150</v>
      </c>
      <c r="Z40" s="155">
        <v>32</v>
      </c>
    </row>
    <row r="41" spans="1:52" ht="15.6" x14ac:dyDescent="0.3">
      <c r="A41">
        <v>39</v>
      </c>
      <c r="B41" s="154" t="s">
        <v>586</v>
      </c>
      <c r="C41" s="154" t="s">
        <v>306</v>
      </c>
      <c r="D41" s="154" t="s">
        <v>587</v>
      </c>
      <c r="E41" s="154" t="s">
        <v>588</v>
      </c>
      <c r="F41" s="154" t="s">
        <v>589</v>
      </c>
      <c r="G41" s="154" t="s">
        <v>316</v>
      </c>
      <c r="H41" s="154" t="s">
        <v>356</v>
      </c>
      <c r="I41" s="154" t="s">
        <v>357</v>
      </c>
      <c r="J41" s="148">
        <v>75</v>
      </c>
      <c r="K41" s="143">
        <v>110</v>
      </c>
      <c r="L41" s="148">
        <v>25</v>
      </c>
      <c r="M41" s="148" t="s">
        <v>594</v>
      </c>
      <c r="N41" s="148">
        <f t="shared" si="0"/>
        <v>210</v>
      </c>
      <c r="O41" s="149">
        <v>210</v>
      </c>
      <c r="P41" s="149"/>
      <c r="Q41" s="149"/>
      <c r="R41" s="149"/>
      <c r="S41" s="149"/>
      <c r="T41" s="149"/>
      <c r="U41" s="145">
        <f t="shared" si="1"/>
        <v>0</v>
      </c>
      <c r="V41" s="163"/>
      <c r="W41" s="163"/>
      <c r="X41" s="163">
        <v>30</v>
      </c>
      <c r="Y41" s="163">
        <v>150</v>
      </c>
      <c r="Z41" s="163">
        <v>32</v>
      </c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</row>
    <row r="42" spans="1:52" hidden="1" x14ac:dyDescent="0.3"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 s="136">
        <f>SUM(Z2:Z41)</f>
        <v>477</v>
      </c>
    </row>
    <row r="43" spans="1:52" hidden="1" x14ac:dyDescent="0.3"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 s="136">
        <f>Z42/32</f>
        <v>14.90625</v>
      </c>
    </row>
    <row r="44" spans="1:52" x14ac:dyDescent="0.3">
      <c r="J44"/>
      <c r="K44"/>
      <c r="L44"/>
      <c r="M44"/>
      <c r="N44"/>
      <c r="O44"/>
      <c r="P44"/>
      <c r="Q44"/>
      <c r="R44" s="136"/>
      <c r="S44"/>
      <c r="T44"/>
      <c r="U44"/>
      <c r="V44"/>
      <c r="W44"/>
      <c r="Z44" s="136">
        <f>SUBTOTAL(9,Z2:Z43)</f>
        <v>352</v>
      </c>
    </row>
    <row r="45" spans="1:52" x14ac:dyDescent="0.3">
      <c r="J45"/>
      <c r="K45"/>
      <c r="L45">
        <f>SUBTOTAL(9,L2:L44)</f>
        <v>250</v>
      </c>
      <c r="M45"/>
      <c r="N45"/>
      <c r="O45"/>
      <c r="P45"/>
      <c r="Q45"/>
      <c r="R45" s="136"/>
      <c r="S45"/>
      <c r="T45"/>
      <c r="U45"/>
      <c r="V45"/>
      <c r="W45"/>
    </row>
    <row r="46" spans="1:52" x14ac:dyDescent="0.3">
      <c r="J46"/>
      <c r="K46"/>
      <c r="L46"/>
      <c r="M46"/>
      <c r="N46"/>
      <c r="O46"/>
      <c r="P46"/>
      <c r="Q46"/>
      <c r="R46" s="136"/>
      <c r="S46"/>
      <c r="T46"/>
      <c r="U46"/>
      <c r="V46"/>
      <c r="W46"/>
    </row>
    <row r="47" spans="1:52" x14ac:dyDescent="0.3">
      <c r="J47"/>
      <c r="K47"/>
      <c r="L47"/>
      <c r="M47"/>
      <c r="N47"/>
      <c r="O47"/>
      <c r="P47"/>
      <c r="Q47"/>
      <c r="R47" s="136"/>
      <c r="S47"/>
      <c r="T47"/>
      <c r="U47"/>
      <c r="V47"/>
      <c r="W47"/>
    </row>
    <row r="48" spans="1:52" x14ac:dyDescent="0.3">
      <c r="J48"/>
      <c r="K48"/>
      <c r="L48"/>
      <c r="M48"/>
      <c r="N48"/>
      <c r="O48"/>
      <c r="P48"/>
      <c r="Q48"/>
      <c r="R48" s="136"/>
      <c r="S48"/>
      <c r="T48"/>
      <c r="U48"/>
      <c r="V48"/>
      <c r="W48"/>
    </row>
    <row r="49" spans="10:23" x14ac:dyDescent="0.3">
      <c r="J49"/>
      <c r="K49"/>
      <c r="L49"/>
      <c r="M49"/>
      <c r="N49"/>
      <c r="O49"/>
      <c r="P49"/>
      <c r="Q49"/>
      <c r="R49" s="136"/>
      <c r="S49"/>
      <c r="T49"/>
      <c r="U49"/>
      <c r="V49"/>
      <c r="W49"/>
    </row>
    <row r="50" spans="10:23" x14ac:dyDescent="0.3">
      <c r="K50" s="150"/>
    </row>
    <row r="53" spans="10:23" x14ac:dyDescent="0.3">
      <c r="L53" s="600" t="s">
        <v>1193</v>
      </c>
      <c r="M53" s="600"/>
      <c r="N53" s="590" t="s">
        <v>1191</v>
      </c>
      <c r="O53" s="590"/>
    </row>
    <row r="54" spans="10:23" x14ac:dyDescent="0.3">
      <c r="L54" s="143" t="s">
        <v>1188</v>
      </c>
      <c r="M54" s="143">
        <v>156</v>
      </c>
      <c r="N54" s="144" t="s">
        <v>541</v>
      </c>
      <c r="O54" s="144">
        <v>50</v>
      </c>
    </row>
    <row r="55" spans="10:23" x14ac:dyDescent="0.3">
      <c r="L55" s="143" t="s">
        <v>1189</v>
      </c>
      <c r="M55" s="143">
        <v>30</v>
      </c>
      <c r="N55" s="144" t="s">
        <v>1182</v>
      </c>
      <c r="O55" s="144">
        <v>22</v>
      </c>
    </row>
    <row r="56" spans="10:23" x14ac:dyDescent="0.3">
      <c r="L56" s="143" t="s">
        <v>1190</v>
      </c>
      <c r="M56" s="143">
        <v>30</v>
      </c>
      <c r="N56" s="144" t="s">
        <v>1183</v>
      </c>
      <c r="O56" s="144">
        <v>22</v>
      </c>
    </row>
    <row r="57" spans="10:23" x14ac:dyDescent="0.3">
      <c r="L57" s="143"/>
      <c r="M57" s="143"/>
      <c r="N57" s="144" t="s">
        <v>1184</v>
      </c>
      <c r="O57" s="144">
        <v>22</v>
      </c>
    </row>
    <row r="58" spans="10:23" x14ac:dyDescent="0.3">
      <c r="L58" s="143"/>
      <c r="M58" s="143"/>
      <c r="N58" s="144" t="s">
        <v>1185</v>
      </c>
      <c r="O58" s="144">
        <v>22</v>
      </c>
    </row>
    <row r="59" spans="10:23" x14ac:dyDescent="0.3">
      <c r="L59" s="143"/>
      <c r="M59" s="143"/>
      <c r="N59" s="144" t="s">
        <v>1186</v>
      </c>
      <c r="O59" s="144">
        <v>22</v>
      </c>
    </row>
    <row r="60" spans="10:23" x14ac:dyDescent="0.3">
      <c r="L60" s="143"/>
      <c r="M60" s="143"/>
      <c r="N60" s="144" t="s">
        <v>1187</v>
      </c>
      <c r="O60" s="144">
        <v>22</v>
      </c>
    </row>
    <row r="61" spans="10:23" x14ac:dyDescent="0.3">
      <c r="L61" s="143" t="s">
        <v>1194</v>
      </c>
      <c r="M61" s="143">
        <f>SUBTOTAL(9,M54:M60)</f>
        <v>216</v>
      </c>
      <c r="N61" s="144"/>
      <c r="O61" s="144">
        <f t="shared" ref="O61" si="2">SUBTOTAL(9,O54:O60)</f>
        <v>182</v>
      </c>
    </row>
    <row r="62" spans="10:23" x14ac:dyDescent="0.3">
      <c r="L62" s="601" t="s">
        <v>1192</v>
      </c>
      <c r="M62" s="601"/>
      <c r="N62" s="601"/>
      <c r="O62" s="383">
        <f>M61-O61</f>
        <v>34</v>
      </c>
    </row>
  </sheetData>
  <autoFilter ref="A1:AZ43" xr:uid="{EAB1FEC4-9DA0-4946-A28D-BE019D023D02}">
    <filterColumn colId="2">
      <customFilters>
        <customFilter operator="notEqual" val=" "/>
      </customFilters>
    </filterColumn>
    <filterColumn colId="23">
      <customFilters>
        <customFilter operator="notEqual" val=" "/>
      </customFilters>
    </filterColumn>
  </autoFilter>
  <sortState xmlns:xlrd2="http://schemas.microsoft.com/office/spreadsheetml/2017/richdata2" ref="A2:AZ41">
    <sortCondition ref="D2:D41"/>
  </sortState>
  <mergeCells count="3">
    <mergeCell ref="N53:O53"/>
    <mergeCell ref="L53:M53"/>
    <mergeCell ref="L62:N62"/>
  </mergeCells>
  <conditionalFormatting sqref="U2:U41 G18:G22">
    <cfRule type="cellIs" dxfId="2" priority="2" operator="lessThan">
      <formula>0</formula>
    </cfRule>
    <cfRule type="cellIs" dxfId="1" priority="3" operator="equal">
      <formula>"M2"</formula>
    </cfRule>
  </conditionalFormatting>
  <conditionalFormatting sqref="U2:U41">
    <cfRule type="cellIs" dxfId="0" priority="1" operator="greaterThan">
      <formula>0</formula>
    </cfRule>
  </conditionalFormatting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36EEE-A120-4A3F-AA67-0D2EB58D5826}">
  <dimension ref="A1:G21"/>
  <sheetViews>
    <sheetView workbookViewId="0">
      <selection activeCell="A3" sqref="A3"/>
    </sheetView>
  </sheetViews>
  <sheetFormatPr baseColWidth="10" defaultRowHeight="14.4" x14ac:dyDescent="0.3"/>
  <cols>
    <col min="1" max="1" width="22.6640625" customWidth="1"/>
    <col min="2" max="2" width="6.21875" customWidth="1"/>
    <col min="3" max="3" width="6.21875" style="136" customWidth="1"/>
    <col min="4" max="4" width="11.5546875" style="136"/>
    <col min="6" max="6" width="15.44140625" customWidth="1"/>
    <col min="7" max="7" width="36.88671875" customWidth="1"/>
  </cols>
  <sheetData>
    <row r="1" spans="1:7" ht="15.6" x14ac:dyDescent="0.3">
      <c r="C1" s="155" t="s">
        <v>808</v>
      </c>
      <c r="D1" s="191" t="s">
        <v>809</v>
      </c>
      <c r="E1" s="191" t="s">
        <v>536</v>
      </c>
      <c r="F1" s="192" t="s">
        <v>810</v>
      </c>
    </row>
    <row r="2" spans="1:7" ht="15.6" x14ac:dyDescent="0.3">
      <c r="A2" s="243" t="s">
        <v>699</v>
      </c>
      <c r="B2" s="194"/>
      <c r="C2" s="195">
        <v>1</v>
      </c>
      <c r="D2" s="195" t="s">
        <v>811</v>
      </c>
      <c r="E2" s="196" t="s">
        <v>544</v>
      </c>
      <c r="F2" s="194" t="s">
        <v>700</v>
      </c>
    </row>
    <row r="3" spans="1:7" ht="15.6" x14ac:dyDescent="0.3">
      <c r="A3" s="197" t="s">
        <v>65</v>
      </c>
      <c r="B3" s="198"/>
      <c r="C3" s="196">
        <v>2</v>
      </c>
      <c r="D3" s="195" t="s">
        <v>811</v>
      </c>
      <c r="E3" s="196" t="s">
        <v>594</v>
      </c>
      <c r="F3" s="198" t="s">
        <v>78</v>
      </c>
    </row>
    <row r="4" spans="1:7" ht="15.6" x14ac:dyDescent="0.3">
      <c r="A4" s="193" t="s">
        <v>587</v>
      </c>
      <c r="B4" s="194"/>
      <c r="C4" s="195">
        <v>3</v>
      </c>
      <c r="D4" s="195" t="s">
        <v>811</v>
      </c>
      <c r="E4" s="196" t="s">
        <v>594</v>
      </c>
      <c r="F4" s="194" t="s">
        <v>588</v>
      </c>
      <c r="G4" t="s">
        <v>812</v>
      </c>
    </row>
    <row r="5" spans="1:7" ht="15.6" x14ac:dyDescent="0.3">
      <c r="A5" s="193" t="s">
        <v>656</v>
      </c>
      <c r="B5" s="194"/>
      <c r="C5" s="196">
        <v>4</v>
      </c>
      <c r="D5" s="195" t="s">
        <v>811</v>
      </c>
      <c r="E5" s="196" t="s">
        <v>306</v>
      </c>
      <c r="F5" s="194" t="s">
        <v>657</v>
      </c>
    </row>
    <row r="6" spans="1:7" ht="15.6" x14ac:dyDescent="0.3">
      <c r="A6" s="193" t="s">
        <v>613</v>
      </c>
      <c r="B6" s="194"/>
      <c r="C6" s="195">
        <v>5</v>
      </c>
      <c r="D6" s="195" t="s">
        <v>811</v>
      </c>
      <c r="E6" s="199" t="s">
        <v>306</v>
      </c>
      <c r="F6" s="194" t="s">
        <v>614</v>
      </c>
    </row>
    <row r="7" spans="1:7" ht="15.6" x14ac:dyDescent="0.3">
      <c r="A7" s="193" t="s">
        <v>606</v>
      </c>
      <c r="B7" s="194"/>
      <c r="C7" s="196">
        <v>6</v>
      </c>
      <c r="D7" s="195" t="s">
        <v>811</v>
      </c>
      <c r="E7" s="196" t="s">
        <v>689</v>
      </c>
      <c r="F7" s="194" t="s">
        <v>371</v>
      </c>
    </row>
    <row r="8" spans="1:7" ht="15.6" x14ac:dyDescent="0.3">
      <c r="A8" s="200" t="s">
        <v>407</v>
      </c>
      <c r="B8" s="201"/>
      <c r="C8" s="195">
        <v>7</v>
      </c>
      <c r="D8" s="195" t="s">
        <v>811</v>
      </c>
      <c r="E8" s="202" t="s">
        <v>688</v>
      </c>
      <c r="F8" s="201" t="s">
        <v>408</v>
      </c>
    </row>
    <row r="9" spans="1:7" ht="15.6" x14ac:dyDescent="0.3">
      <c r="A9" s="193" t="s">
        <v>627</v>
      </c>
      <c r="B9" s="194"/>
      <c r="C9" s="196">
        <v>8</v>
      </c>
      <c r="D9" s="195" t="s">
        <v>811</v>
      </c>
      <c r="E9" s="196" t="s">
        <v>689</v>
      </c>
      <c r="F9" s="194" t="s">
        <v>628</v>
      </c>
    </row>
    <row r="10" spans="1:7" ht="15.6" x14ac:dyDescent="0.3">
      <c r="A10" s="193" t="s">
        <v>627</v>
      </c>
      <c r="B10" s="194"/>
      <c r="C10" s="195">
        <v>9</v>
      </c>
      <c r="D10" s="195" t="s">
        <v>811</v>
      </c>
      <c r="E10" s="196" t="s">
        <v>689</v>
      </c>
      <c r="F10" s="194" t="s">
        <v>636</v>
      </c>
    </row>
    <row r="11" spans="1:7" ht="15.6" x14ac:dyDescent="0.3">
      <c r="A11" s="193" t="s">
        <v>598</v>
      </c>
      <c r="B11" s="194"/>
      <c r="C11" s="196">
        <v>10</v>
      </c>
      <c r="D11" s="195" t="s">
        <v>811</v>
      </c>
      <c r="E11" s="196" t="s">
        <v>578</v>
      </c>
      <c r="F11" s="194" t="s">
        <v>599</v>
      </c>
    </row>
    <row r="12" spans="1:7" ht="15.6" x14ac:dyDescent="0.3">
      <c r="A12" s="193" t="s">
        <v>712</v>
      </c>
      <c r="B12" s="194"/>
      <c r="C12" s="195">
        <v>11</v>
      </c>
      <c r="D12" s="195" t="s">
        <v>811</v>
      </c>
      <c r="E12" s="196" t="s">
        <v>578</v>
      </c>
      <c r="F12" s="194" t="s">
        <v>713</v>
      </c>
    </row>
    <row r="13" spans="1:7" ht="15.6" x14ac:dyDescent="0.3">
      <c r="A13" s="197" t="s">
        <v>370</v>
      </c>
      <c r="B13" s="198"/>
      <c r="C13" s="199">
        <v>12</v>
      </c>
      <c r="D13" s="203" t="s">
        <v>811</v>
      </c>
      <c r="E13" s="204" t="s">
        <v>543</v>
      </c>
      <c r="F13" s="205" t="s">
        <v>371</v>
      </c>
    </row>
    <row r="14" spans="1:7" ht="15.6" x14ac:dyDescent="0.3">
      <c r="A14" s="198"/>
      <c r="B14" s="206"/>
      <c r="C14" s="207"/>
      <c r="D14" s="208"/>
      <c r="E14" s="209"/>
      <c r="F14" s="210"/>
    </row>
    <row r="15" spans="1:7" ht="15.6" x14ac:dyDescent="0.3">
      <c r="A15" s="197" t="s">
        <v>73</v>
      </c>
      <c r="B15" s="198"/>
      <c r="C15" s="211">
        <v>13</v>
      </c>
      <c r="D15" s="211" t="s">
        <v>813</v>
      </c>
      <c r="E15" s="211" t="s">
        <v>594</v>
      </c>
      <c r="F15" s="212" t="s">
        <v>74</v>
      </c>
    </row>
    <row r="16" spans="1:7" ht="15.6" x14ac:dyDescent="0.3">
      <c r="A16" s="193" t="s">
        <v>565</v>
      </c>
      <c r="B16" s="194"/>
      <c r="C16" s="195">
        <v>14</v>
      </c>
      <c r="D16" s="196" t="s">
        <v>813</v>
      </c>
      <c r="E16" s="196" t="s">
        <v>594</v>
      </c>
      <c r="F16" s="194" t="s">
        <v>814</v>
      </c>
      <c r="G16" s="213" t="s">
        <v>815</v>
      </c>
    </row>
    <row r="17" spans="1:7" ht="15.6" x14ac:dyDescent="0.3">
      <c r="A17" s="193" t="s">
        <v>407</v>
      </c>
      <c r="B17" s="194"/>
      <c r="C17" s="196">
        <v>15</v>
      </c>
      <c r="D17" s="196" t="s">
        <v>813</v>
      </c>
      <c r="E17" s="196" t="s">
        <v>594</v>
      </c>
      <c r="F17" s="194" t="s">
        <v>666</v>
      </c>
    </row>
    <row r="18" spans="1:7" ht="15.6" x14ac:dyDescent="0.3">
      <c r="A18" s="197" t="s">
        <v>154</v>
      </c>
      <c r="B18" s="198"/>
      <c r="C18" s="195">
        <v>16</v>
      </c>
      <c r="D18" s="196" t="s">
        <v>813</v>
      </c>
      <c r="E18" s="202" t="s">
        <v>594</v>
      </c>
      <c r="F18" s="198" t="s">
        <v>83</v>
      </c>
    </row>
    <row r="19" spans="1:7" ht="15.6" x14ac:dyDescent="0.3">
      <c r="A19" s="197" t="s">
        <v>207</v>
      </c>
      <c r="B19" s="198"/>
      <c r="C19" s="196">
        <v>17</v>
      </c>
      <c r="D19" s="196" t="s">
        <v>813</v>
      </c>
      <c r="E19" s="196" t="s">
        <v>306</v>
      </c>
      <c r="F19" s="198" t="s">
        <v>28</v>
      </c>
      <c r="G19" s="217"/>
    </row>
    <row r="20" spans="1:7" ht="15.6" x14ac:dyDescent="0.3">
      <c r="A20" s="214" t="s">
        <v>712</v>
      </c>
      <c r="B20" s="215"/>
      <c r="C20" s="195">
        <v>18</v>
      </c>
      <c r="D20" s="196" t="s">
        <v>813</v>
      </c>
      <c r="E20" s="216" t="s">
        <v>306</v>
      </c>
      <c r="F20" s="215" t="s">
        <v>799</v>
      </c>
    </row>
    <row r="21" spans="1:7" ht="15.6" x14ac:dyDescent="0.3">
      <c r="A21" s="193" t="s">
        <v>555</v>
      </c>
      <c r="B21" s="194"/>
      <c r="C21" s="196">
        <v>19</v>
      </c>
      <c r="D21" s="196" t="s">
        <v>813</v>
      </c>
      <c r="E21" s="196" t="s">
        <v>578</v>
      </c>
      <c r="F21" s="194" t="s">
        <v>556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29603fb-7fab-4bf6-8ed3-004985bb9d91}" enabled="1" method="Standard" siteId="{9179d01a-e94c-4488-b5f0-4554bc474f8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Compte 2024-25</vt:lpstr>
      <vt:lpstr>RECAP</vt:lpstr>
      <vt:lpstr>Feuil1</vt:lpstr>
      <vt:lpstr>Concours</vt:lpstr>
      <vt:lpstr>RDJ</vt:lpstr>
      <vt:lpstr>loc caution</vt:lpstr>
      <vt:lpstr>CA</vt:lpstr>
      <vt:lpstr>verif</vt:lpstr>
      <vt:lpstr>maillots</vt:lpstr>
      <vt:lpstr>Livret A</vt:lpstr>
      <vt:lpstr>licenciés</vt:lpstr>
      <vt:lpstr>Deplact</vt:lpstr>
      <vt:lpstr>Prestations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Famille Oliveau</dc:creator>
  <cp:lastModifiedBy>patrice oliveau</cp:lastModifiedBy>
  <cp:lastPrinted>2023-09-16T04:56:08Z</cp:lastPrinted>
  <dcterms:created xsi:type="dcterms:W3CDTF">2020-08-06T17:11:44Z</dcterms:created>
  <dcterms:modified xsi:type="dcterms:W3CDTF">2025-09-11T06:59:10Z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9603fb-7fab-4bf6-8ed3-004985bb9d91_Enabled">
    <vt:lpwstr>true</vt:lpwstr>
  </property>
  <property fmtid="{D5CDD505-2E9C-101B-9397-08002B2CF9AE}" pid="3" name="MSIP_Label_b29603fb-7fab-4bf6-8ed3-004985bb9d91_SetDate">
    <vt:lpwstr>2022-12-22T17:11:58Z</vt:lpwstr>
  </property>
  <property fmtid="{D5CDD505-2E9C-101B-9397-08002B2CF9AE}" pid="4" name="MSIP_Label_b29603fb-7fab-4bf6-8ed3-004985bb9d91_Method">
    <vt:lpwstr>Standard</vt:lpwstr>
  </property>
  <property fmtid="{D5CDD505-2E9C-101B-9397-08002B2CF9AE}" pid="5" name="MSIP_Label_b29603fb-7fab-4bf6-8ed3-004985bb9d91_Name">
    <vt:lpwstr>Anyone - No Protection</vt:lpwstr>
  </property>
  <property fmtid="{D5CDD505-2E9C-101B-9397-08002B2CF9AE}" pid="6" name="MSIP_Label_b29603fb-7fab-4bf6-8ed3-004985bb9d91_SiteId">
    <vt:lpwstr>9179d01a-e94c-4488-b5f0-4554bc474f8c</vt:lpwstr>
  </property>
  <property fmtid="{D5CDD505-2E9C-101B-9397-08002B2CF9AE}" pid="7" name="MSIP_Label_b29603fb-7fab-4bf6-8ed3-004985bb9d91_ActionId">
    <vt:lpwstr>529a7a9e-9f72-4852-8743-e133cc596f1f</vt:lpwstr>
  </property>
  <property fmtid="{D5CDD505-2E9C-101B-9397-08002B2CF9AE}" pid="8" name="MSIP_Label_b29603fb-7fab-4bf6-8ed3-004985bb9d91_ContentBits">
    <vt:lpwstr>0</vt:lpwstr>
  </property>
</Properties>
</file>